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defaultThemeVersion="166925"/>
  <mc:AlternateContent xmlns:mc="http://schemas.openxmlformats.org/markup-compatibility/2006">
    <mc:Choice Requires="x15">
      <x15ac:absPath xmlns:x15ac="http://schemas.microsoft.com/office/spreadsheetml/2010/11/ac" url="C:\Users\maria.martorelli\Desktop\PIAO_2024-2026_DGMC\"/>
    </mc:Choice>
  </mc:AlternateContent>
  <xr:revisionPtr revIDLastSave="0" documentId="13_ncr:1_{535B0814-9F35-422B-89FA-554CAE200320}" xr6:coauthVersionLast="47" xr6:coauthVersionMax="47" xr10:uidLastSave="{00000000-0000-0000-0000-000000000000}"/>
  <bookViews>
    <workbookView xWindow="-120" yWindow="-120" windowWidth="29040" windowHeight="15840" tabRatio="500" xr2:uid="{00000000-000D-0000-FFFF-FFFF00000000}"/>
  </bookViews>
  <sheets>
    <sheet name="Tab.1 valore finanziario D.O." sheetId="1" r:id="rId1"/>
    <sheet name="Tab. 2  presenti in servizio" sheetId="2" r:id="rId2"/>
    <sheet name="Tab. 3.1  Cessati anno 2023" sheetId="3" r:id="rId3"/>
    <sheet name="Tab. 3.2  Cessati anno 2024" sheetId="4" r:id="rId4"/>
    <sheet name="Tab. 3.3  Cessati anno 2025" sheetId="5" r:id="rId5"/>
    <sheet name="Tab. 3.4  Cessati anno 2026" sheetId="6" r:id="rId6"/>
    <sheet name="Tab 4.1 Bandire e assumere 2024" sheetId="7" r:id="rId7"/>
    <sheet name="Tab. 4.2 Assunzioni  2024" sheetId="8" r:id="rId8"/>
    <sheet name="Tab. 4.3 Assunzioni 2025" sheetId="9" r:id="rId9"/>
    <sheet name="Tab. 4.4 Assunzioni  2026" sheetId="10" r:id="rId10"/>
    <sheet name="Tab. 5 Comandati out" sheetId="12" r:id="rId11"/>
    <sheet name="Tab. 6 Verifica tetto spesa" sheetId="13" r:id="rId12"/>
    <sheet name="All.a) Assunzioni autorizzate" sheetId="14" r:id="rId1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loext="http://schemas.libreoffice.org/" uri="{7626C862-2A13-11E5-B345-FEFF819CDC9F}">
      <loext:extCalcPr stringRefSyntax="ExcelA1"/>
    </ext>
  </extLst>
</workbook>
</file>

<file path=xl/calcChain.xml><?xml version="1.0" encoding="utf-8"?>
<calcChain xmlns="http://schemas.openxmlformats.org/spreadsheetml/2006/main">
  <c r="O27" i="8" l="1"/>
  <c r="Q16" i="10" l="1"/>
  <c r="N27" i="10"/>
  <c r="O27" i="10"/>
  <c r="R27" i="9" l="1"/>
  <c r="S16" i="9"/>
  <c r="N27" i="9"/>
  <c r="O27" i="9"/>
  <c r="P27" i="9"/>
  <c r="T16" i="8" l="1"/>
  <c r="N19" i="8"/>
  <c r="N27" i="8"/>
  <c r="P27" i="8"/>
  <c r="S27" i="8"/>
  <c r="R27" i="8"/>
  <c r="Q19" i="8"/>
  <c r="M27" i="8" l="1"/>
  <c r="Q27" i="9" l="1"/>
  <c r="L27" i="9"/>
  <c r="M27" i="9"/>
  <c r="P27" i="10"/>
  <c r="L27" i="10"/>
  <c r="M27" i="10"/>
  <c r="B10" i="14"/>
  <c r="B38" i="14"/>
  <c r="B41" i="14" s="1"/>
  <c r="B33" i="14"/>
  <c r="B34" i="14" s="1"/>
  <c r="B23" i="14"/>
  <c r="B26" i="14" s="1"/>
  <c r="B15" i="14"/>
  <c r="B16" i="14"/>
  <c r="B17" i="14"/>
  <c r="L15" i="3"/>
  <c r="E8" i="12"/>
  <c r="E7" i="12"/>
  <c r="E8" i="10"/>
  <c r="E7" i="10"/>
  <c r="E8" i="9"/>
  <c r="E7" i="9"/>
  <c r="E8" i="8"/>
  <c r="E7" i="8"/>
  <c r="E8" i="6"/>
  <c r="E7" i="6"/>
  <c r="E8" i="5"/>
  <c r="E7" i="5"/>
  <c r="E8" i="4"/>
  <c r="E7" i="4"/>
  <c r="E8" i="3"/>
  <c r="E7" i="3"/>
  <c r="E8" i="2"/>
  <c r="E7" i="2"/>
  <c r="E9" i="1"/>
  <c r="E8" i="1"/>
  <c r="B18" i="14" l="1"/>
  <c r="L21" i="12"/>
  <c r="F19" i="12"/>
  <c r="G19" i="12" s="1"/>
  <c r="F17" i="12"/>
  <c r="G17" i="12" s="1"/>
  <c r="F15" i="12"/>
  <c r="G15" i="12" s="1"/>
  <c r="G12" i="12"/>
  <c r="I12" i="12" s="1"/>
  <c r="G11" i="12"/>
  <c r="J8" i="12"/>
  <c r="H8" i="12"/>
  <c r="G8" i="12"/>
  <c r="J7" i="12"/>
  <c r="H7" i="12"/>
  <c r="G7" i="12"/>
  <c r="F25" i="10"/>
  <c r="G25" i="10" s="1"/>
  <c r="F22" i="10"/>
  <c r="G22" i="10" s="1"/>
  <c r="F19" i="10"/>
  <c r="G19" i="10" s="1"/>
  <c r="K15" i="10"/>
  <c r="Q15" i="10" s="1"/>
  <c r="H15" i="10"/>
  <c r="G12" i="10"/>
  <c r="G11" i="10"/>
  <c r="J8" i="10"/>
  <c r="H8" i="10"/>
  <c r="G8" i="10"/>
  <c r="J7" i="10"/>
  <c r="H7" i="10"/>
  <c r="G7" i="10"/>
  <c r="F25" i="9"/>
  <c r="G25" i="9" s="1"/>
  <c r="F22" i="9"/>
  <c r="G22" i="9" s="1"/>
  <c r="F19" i="9"/>
  <c r="G19" i="9" s="1"/>
  <c r="K15" i="9"/>
  <c r="S15" i="9" s="1"/>
  <c r="H15" i="9"/>
  <c r="G12" i="9"/>
  <c r="G11" i="9"/>
  <c r="I11" i="9" s="1"/>
  <c r="J8" i="9"/>
  <c r="H8" i="9"/>
  <c r="G8" i="9"/>
  <c r="J7" i="9"/>
  <c r="H7" i="9"/>
  <c r="G7" i="9"/>
  <c r="I7" i="9" s="1"/>
  <c r="Q27" i="8"/>
  <c r="L27" i="8"/>
  <c r="F25" i="8"/>
  <c r="G25" i="8" s="1"/>
  <c r="F22" i="8"/>
  <c r="G22" i="8" s="1"/>
  <c r="F19" i="8"/>
  <c r="G19" i="8" s="1"/>
  <c r="H15" i="8"/>
  <c r="G15" i="8"/>
  <c r="K15" i="8" s="1"/>
  <c r="T15" i="8" s="1"/>
  <c r="G12" i="8"/>
  <c r="G11" i="8"/>
  <c r="H11" i="8" s="1"/>
  <c r="J8" i="8"/>
  <c r="H8" i="8"/>
  <c r="G8" i="8"/>
  <c r="J7" i="8"/>
  <c r="H7" i="8"/>
  <c r="G7" i="8"/>
  <c r="N36" i="7"/>
  <c r="J36" i="7"/>
  <c r="I36" i="7"/>
  <c r="H36" i="7"/>
  <c r="G36" i="7"/>
  <c r="F36" i="7"/>
  <c r="E36" i="7"/>
  <c r="D36" i="7"/>
  <c r="K34" i="7"/>
  <c r="K32" i="7"/>
  <c r="K31" i="7"/>
  <c r="K29" i="7"/>
  <c r="K28" i="7"/>
  <c r="K26" i="7"/>
  <c r="L26" i="7" s="1"/>
  <c r="K25" i="7"/>
  <c r="K19" i="7"/>
  <c r="K18" i="7"/>
  <c r="K12" i="7"/>
  <c r="K11" i="7"/>
  <c r="L23" i="6"/>
  <c r="L22" i="6"/>
  <c r="L21" i="6"/>
  <c r="F19" i="6"/>
  <c r="G19" i="6" s="1"/>
  <c r="F17" i="6"/>
  <c r="G17" i="6" s="1"/>
  <c r="F15" i="6"/>
  <c r="G15" i="6" s="1"/>
  <c r="G12" i="6"/>
  <c r="G11" i="6"/>
  <c r="J8" i="6"/>
  <c r="H8" i="6"/>
  <c r="G8" i="6"/>
  <c r="J7" i="6"/>
  <c r="H7" i="6"/>
  <c r="G7" i="6"/>
  <c r="L23" i="5"/>
  <c r="L22" i="5"/>
  <c r="L21" i="5"/>
  <c r="F19" i="5"/>
  <c r="G19" i="5" s="1"/>
  <c r="F17" i="5"/>
  <c r="G17" i="5" s="1"/>
  <c r="F15" i="5"/>
  <c r="G15" i="5" s="1"/>
  <c r="G12" i="5"/>
  <c r="G11" i="5"/>
  <c r="J8" i="5"/>
  <c r="H8" i="5"/>
  <c r="G8" i="5"/>
  <c r="J7" i="5"/>
  <c r="H7" i="5"/>
  <c r="G7" i="5"/>
  <c r="L23" i="4"/>
  <c r="L22" i="4"/>
  <c r="L21" i="4"/>
  <c r="F19" i="4"/>
  <c r="G19" i="4" s="1"/>
  <c r="F17" i="4"/>
  <c r="G17" i="4" s="1"/>
  <c r="F15" i="4"/>
  <c r="G15" i="4" s="1"/>
  <c r="G12" i="4"/>
  <c r="G11" i="4"/>
  <c r="J8" i="4"/>
  <c r="H8" i="4"/>
  <c r="G8" i="4"/>
  <c r="J7" i="4"/>
  <c r="H7" i="4"/>
  <c r="G7" i="4"/>
  <c r="L23" i="3"/>
  <c r="L22" i="3"/>
  <c r="L21" i="3"/>
  <c r="F19" i="3"/>
  <c r="G19" i="3" s="1"/>
  <c r="F17" i="3"/>
  <c r="G17" i="3" s="1"/>
  <c r="F15" i="3"/>
  <c r="G15" i="3" s="1"/>
  <c r="G12" i="3"/>
  <c r="G11" i="3"/>
  <c r="J8" i="3"/>
  <c r="H8" i="3"/>
  <c r="G8" i="3"/>
  <c r="J7" i="3"/>
  <c r="H7" i="3"/>
  <c r="G7" i="3"/>
  <c r="M24" i="2"/>
  <c r="L24" i="2"/>
  <c r="F22" i="2"/>
  <c r="G22" i="2" s="1"/>
  <c r="F20" i="2"/>
  <c r="G20" i="2" s="1"/>
  <c r="F18" i="2"/>
  <c r="G18" i="2" s="1"/>
  <c r="H15" i="2"/>
  <c r="G12" i="2"/>
  <c r="H12" i="2" s="1"/>
  <c r="G11" i="2"/>
  <c r="J8" i="2"/>
  <c r="H8" i="2"/>
  <c r="G8" i="2"/>
  <c r="J7" i="2"/>
  <c r="H7" i="2"/>
  <c r="G7" i="2"/>
  <c r="L25" i="1"/>
  <c r="F23" i="1"/>
  <c r="G23" i="1" s="1"/>
  <c r="F21" i="1"/>
  <c r="G21" i="1" s="1"/>
  <c r="F19" i="1"/>
  <c r="G19" i="1" s="1"/>
  <c r="H16" i="1"/>
  <c r="G13" i="1"/>
  <c r="G12" i="1"/>
  <c r="J9" i="1"/>
  <c r="H9" i="1"/>
  <c r="G9" i="1"/>
  <c r="J8" i="1"/>
  <c r="H8" i="1"/>
  <c r="G8" i="1"/>
  <c r="I8" i="1" s="1"/>
  <c r="I11" i="8" l="1"/>
  <c r="H12" i="12"/>
  <c r="I25" i="8"/>
  <c r="J25" i="8"/>
  <c r="H25" i="8"/>
  <c r="J11" i="8"/>
  <c r="K11" i="8" s="1"/>
  <c r="T11" i="8" s="1"/>
  <c r="I12" i="2"/>
  <c r="J12" i="2"/>
  <c r="K7" i="9"/>
  <c r="S7" i="9" s="1"/>
  <c r="H12" i="1"/>
  <c r="I12" i="1"/>
  <c r="I7" i="10"/>
  <c r="K7" i="10" s="1"/>
  <c r="Q7" i="10" s="1"/>
  <c r="G15" i="10"/>
  <c r="H19" i="4"/>
  <c r="J19" i="4"/>
  <c r="I19" i="4"/>
  <c r="J15" i="6"/>
  <c r="H15" i="6"/>
  <c r="I15" i="6"/>
  <c r="J17" i="5"/>
  <c r="H17" i="5"/>
  <c r="I17" i="5"/>
  <c r="H22" i="8"/>
  <c r="I22" i="8"/>
  <c r="I19" i="10"/>
  <c r="J19" i="10"/>
  <c r="J13" i="1"/>
  <c r="I13" i="1"/>
  <c r="H13" i="1"/>
  <c r="I8" i="4"/>
  <c r="K8" i="4" s="1"/>
  <c r="J22" i="8"/>
  <c r="I8" i="9"/>
  <c r="K8" i="9" s="1"/>
  <c r="S8" i="9" s="1"/>
  <c r="H25" i="9"/>
  <c r="I25" i="9"/>
  <c r="J11" i="10"/>
  <c r="I11" i="10"/>
  <c r="H11" i="10"/>
  <c r="H19" i="10"/>
  <c r="I21" i="1"/>
  <c r="J21" i="1"/>
  <c r="H21" i="1"/>
  <c r="J11" i="6"/>
  <c r="I11" i="6"/>
  <c r="H11" i="6"/>
  <c r="J23" i="1"/>
  <c r="H23" i="1"/>
  <c r="I23" i="1"/>
  <c r="J17" i="4"/>
  <c r="I17" i="4"/>
  <c r="H17" i="4"/>
  <c r="H15" i="5"/>
  <c r="J15" i="5"/>
  <c r="I15" i="5"/>
  <c r="I7" i="6"/>
  <c r="K7" i="6" s="1"/>
  <c r="H12" i="6"/>
  <c r="J12" i="6"/>
  <c r="I12" i="6"/>
  <c r="J25" i="9"/>
  <c r="J12" i="10"/>
  <c r="I12" i="10"/>
  <c r="H12" i="10"/>
  <c r="I8" i="12"/>
  <c r="K8" i="12" s="1"/>
  <c r="M8" i="12" s="1"/>
  <c r="J11" i="3"/>
  <c r="I11" i="3"/>
  <c r="H11" i="3"/>
  <c r="I8" i="5"/>
  <c r="K8" i="5" s="1"/>
  <c r="J22" i="10"/>
  <c r="I22" i="10"/>
  <c r="H22" i="10"/>
  <c r="J15" i="12"/>
  <c r="I15" i="12"/>
  <c r="J22" i="2"/>
  <c r="I22" i="2"/>
  <c r="H22" i="2"/>
  <c r="H15" i="4"/>
  <c r="J15" i="4"/>
  <c r="I15" i="4"/>
  <c r="J12" i="5"/>
  <c r="H12" i="5"/>
  <c r="I12" i="5"/>
  <c r="I9" i="1"/>
  <c r="K9" i="1" s="1"/>
  <c r="J19" i="3"/>
  <c r="H19" i="3"/>
  <c r="I19" i="3"/>
  <c r="J11" i="2"/>
  <c r="I11" i="2"/>
  <c r="J18" i="2"/>
  <c r="I18" i="2"/>
  <c r="H18" i="2"/>
  <c r="I7" i="3"/>
  <c r="K7" i="3" s="1"/>
  <c r="H12" i="3"/>
  <c r="K12" i="3" s="1"/>
  <c r="M12" i="3" s="1"/>
  <c r="J12" i="3"/>
  <c r="I12" i="3"/>
  <c r="J11" i="4"/>
  <c r="I11" i="4"/>
  <c r="H11" i="4"/>
  <c r="K36" i="7"/>
  <c r="I7" i="8"/>
  <c r="K7" i="8" s="1"/>
  <c r="T7" i="8" s="1"/>
  <c r="K25" i="8"/>
  <c r="T25" i="8" s="1"/>
  <c r="H15" i="12"/>
  <c r="H17" i="3"/>
  <c r="J17" i="3"/>
  <c r="I17" i="3"/>
  <c r="I7" i="2"/>
  <c r="K7" i="2" s="1"/>
  <c r="N7" i="2" s="1"/>
  <c r="H11" i="2"/>
  <c r="I8" i="6"/>
  <c r="K8" i="6" s="1"/>
  <c r="J19" i="8"/>
  <c r="I19" i="8"/>
  <c r="H19" i="8"/>
  <c r="J19" i="9"/>
  <c r="I19" i="9"/>
  <c r="H19" i="9"/>
  <c r="I8" i="10"/>
  <c r="K8" i="10" s="1"/>
  <c r="Q8" i="10" s="1"/>
  <c r="J25" i="10"/>
  <c r="I25" i="10"/>
  <c r="H25" i="10"/>
  <c r="I17" i="12"/>
  <c r="J17" i="12"/>
  <c r="H17" i="12"/>
  <c r="H19" i="6"/>
  <c r="J19" i="6"/>
  <c r="I19" i="6"/>
  <c r="J19" i="1"/>
  <c r="I19" i="1"/>
  <c r="H19" i="1"/>
  <c r="J20" i="2"/>
  <c r="I20" i="2"/>
  <c r="H20" i="2"/>
  <c r="H15" i="3"/>
  <c r="J15" i="3"/>
  <c r="I15" i="3"/>
  <c r="H12" i="4"/>
  <c r="J12" i="4"/>
  <c r="I12" i="4"/>
  <c r="J11" i="5"/>
  <c r="I11" i="5"/>
  <c r="H11" i="5"/>
  <c r="J17" i="6"/>
  <c r="I17" i="6"/>
  <c r="H17" i="6"/>
  <c r="H12" i="8"/>
  <c r="I12" i="8"/>
  <c r="J11" i="12"/>
  <c r="I11" i="12"/>
  <c r="H11" i="12"/>
  <c r="I19" i="12"/>
  <c r="J19" i="12"/>
  <c r="H19" i="12"/>
  <c r="I8" i="2"/>
  <c r="K8" i="2" s="1"/>
  <c r="N8" i="2" s="1"/>
  <c r="I7" i="5"/>
  <c r="K7" i="5" s="1"/>
  <c r="K8" i="1"/>
  <c r="I7" i="4"/>
  <c r="K7" i="4" s="1"/>
  <c r="H19" i="5"/>
  <c r="J19" i="5"/>
  <c r="I19" i="5"/>
  <c r="I8" i="3"/>
  <c r="K8" i="3" s="1"/>
  <c r="I8" i="8"/>
  <c r="K8" i="8" s="1"/>
  <c r="T8" i="8" s="1"/>
  <c r="J12" i="8"/>
  <c r="K12" i="8" s="1"/>
  <c r="T12" i="8" s="1"/>
  <c r="J12" i="9"/>
  <c r="I12" i="9"/>
  <c r="H12" i="9"/>
  <c r="J22" i="9"/>
  <c r="I22" i="9"/>
  <c r="H22" i="9"/>
  <c r="I7" i="12"/>
  <c r="K7" i="12" s="1"/>
  <c r="M7" i="12" s="1"/>
  <c r="J12" i="1"/>
  <c r="J11" i="9"/>
  <c r="G15" i="9"/>
  <c r="J12" i="12"/>
  <c r="K12" i="12" s="1"/>
  <c r="M12" i="12" s="1"/>
  <c r="G16" i="1"/>
  <c r="K16" i="1" s="1"/>
  <c r="C25" i="7" s="1"/>
  <c r="L25" i="7" s="1"/>
  <c r="G15" i="2"/>
  <c r="K15" i="2" s="1"/>
  <c r="N15" i="2" s="1"/>
  <c r="H11" i="9"/>
  <c r="K19" i="12" l="1"/>
  <c r="M19" i="12" s="1"/>
  <c r="M16" i="1"/>
  <c r="K12" i="9"/>
  <c r="S12" i="9" s="1"/>
  <c r="K11" i="3"/>
  <c r="M11" i="3" s="1"/>
  <c r="K17" i="12"/>
  <c r="M17" i="12" s="1"/>
  <c r="K19" i="8"/>
  <c r="K11" i="4"/>
  <c r="M11" i="4" s="1"/>
  <c r="K22" i="8"/>
  <c r="T22" i="8" s="1"/>
  <c r="K12" i="2"/>
  <c r="N12" i="2" s="1"/>
  <c r="K11" i="12"/>
  <c r="M11" i="12" s="1"/>
  <c r="K15" i="12"/>
  <c r="M15" i="12" s="1"/>
  <c r="K12" i="10"/>
  <c r="Q12" i="10" s="1"/>
  <c r="K17" i="6"/>
  <c r="M17" i="6" s="1"/>
  <c r="K12" i="6"/>
  <c r="M12" i="6" s="1"/>
  <c r="K15" i="6"/>
  <c r="M15" i="6" s="1"/>
  <c r="K17" i="4"/>
  <c r="M17" i="4" s="1"/>
  <c r="K19" i="4"/>
  <c r="M19" i="4" s="1"/>
  <c r="K15" i="3"/>
  <c r="M15" i="3" s="1"/>
  <c r="K12" i="1"/>
  <c r="M12" i="1" s="1"/>
  <c r="K11" i="6"/>
  <c r="M11" i="6" s="1"/>
  <c r="K19" i="6"/>
  <c r="M19" i="6" s="1"/>
  <c r="K17" i="5"/>
  <c r="M17" i="5" s="1"/>
  <c r="K11" i="5"/>
  <c r="M11" i="5" s="1"/>
  <c r="M21" i="5" s="1"/>
  <c r="K19" i="5"/>
  <c r="M19" i="5" s="1"/>
  <c r="K12" i="5"/>
  <c r="M12" i="5" s="1"/>
  <c r="K15" i="5"/>
  <c r="M15" i="5" s="1"/>
  <c r="K15" i="4"/>
  <c r="M15" i="4" s="1"/>
  <c r="K12" i="4"/>
  <c r="M12" i="4" s="1"/>
  <c r="K17" i="3"/>
  <c r="M17" i="3" s="1"/>
  <c r="K19" i="3"/>
  <c r="M19" i="3" s="1"/>
  <c r="K20" i="2"/>
  <c r="N20" i="2" s="1"/>
  <c r="K11" i="2"/>
  <c r="N11" i="2" s="1"/>
  <c r="K22" i="2"/>
  <c r="N22" i="2" s="1"/>
  <c r="K18" i="2"/>
  <c r="N18" i="2" s="1"/>
  <c r="K23" i="1"/>
  <c r="C34" i="7" s="1"/>
  <c r="L34" i="7" s="1"/>
  <c r="K13" i="1"/>
  <c r="C19" i="7" s="1"/>
  <c r="L19" i="7" s="1"/>
  <c r="K19" i="1"/>
  <c r="C28" i="7" s="1"/>
  <c r="K21" i="1"/>
  <c r="K25" i="9"/>
  <c r="S25" i="9" s="1"/>
  <c r="K22" i="9"/>
  <c r="K19" i="9"/>
  <c r="K19" i="10"/>
  <c r="K25" i="10"/>
  <c r="Q25" i="10" s="1"/>
  <c r="K11" i="10"/>
  <c r="Q11" i="10" s="1"/>
  <c r="K22" i="10"/>
  <c r="Q22" i="10" s="1"/>
  <c r="K20" i="8"/>
  <c r="T20" i="8" s="1"/>
  <c r="K23" i="8"/>
  <c r="T23" i="8" s="1"/>
  <c r="M21" i="4"/>
  <c r="M21" i="3"/>
  <c r="M9" i="1"/>
  <c r="C12" i="7"/>
  <c r="L12" i="7" s="1"/>
  <c r="K11" i="9"/>
  <c r="S11" i="9" s="1"/>
  <c r="C11" i="7"/>
  <c r="L11" i="7" s="1"/>
  <c r="M8" i="1"/>
  <c r="K23" i="9" l="1"/>
  <c r="S23" i="9" s="1"/>
  <c r="S22" i="9"/>
  <c r="M22" i="6"/>
  <c r="M23" i="6"/>
  <c r="T19" i="8"/>
  <c r="T30" i="8"/>
  <c r="T31" i="8"/>
  <c r="M21" i="12"/>
  <c r="E8" i="13" s="1"/>
  <c r="Q30" i="10"/>
  <c r="Q31" i="10"/>
  <c r="Q19" i="10"/>
  <c r="S31" i="9"/>
  <c r="S30" i="9"/>
  <c r="S19" i="9"/>
  <c r="S27" i="9" s="1"/>
  <c r="K23" i="10"/>
  <c r="Q23" i="10" s="1"/>
  <c r="K20" i="9"/>
  <c r="S20" i="9" s="1"/>
  <c r="M21" i="6"/>
  <c r="M23" i="5"/>
  <c r="M22" i="4"/>
  <c r="M2" i="9" s="1"/>
  <c r="M23" i="3"/>
  <c r="M22" i="3"/>
  <c r="M2" i="8" s="1"/>
  <c r="N24" i="2"/>
  <c r="E7" i="13" s="1"/>
  <c r="M23" i="1"/>
  <c r="M13" i="1"/>
  <c r="M25" i="1" s="1"/>
  <c r="C18" i="7"/>
  <c r="L18" i="7" s="1"/>
  <c r="M22" i="5"/>
  <c r="M2" i="10" s="1"/>
  <c r="M23" i="4"/>
  <c r="E9" i="13" s="1"/>
  <c r="M19" i="1"/>
  <c r="M21" i="1"/>
  <c r="C31" i="7"/>
  <c r="L31" i="7" s="1"/>
  <c r="T27" i="8"/>
  <c r="K20" i="10"/>
  <c r="T29" i="8"/>
  <c r="E10" i="13" s="1"/>
  <c r="L28" i="7"/>
  <c r="E11" i="13"/>
  <c r="S29" i="9"/>
  <c r="E12" i="13"/>
  <c r="E15" i="13" l="1"/>
  <c r="Q20" i="10"/>
  <c r="Q27" i="10" s="1"/>
  <c r="Q29" i="10"/>
  <c r="C32" i="7"/>
  <c r="L32" i="7" s="1"/>
  <c r="C29" i="7"/>
  <c r="L29" i="7" s="1"/>
  <c r="L36" i="7" s="1"/>
  <c r="E13" i="13"/>
</calcChain>
</file>

<file path=xl/sharedStrings.xml><?xml version="1.0" encoding="utf-8"?>
<sst xmlns="http://schemas.openxmlformats.org/spreadsheetml/2006/main" count="828" uniqueCount="233">
  <si>
    <r>
      <rPr>
        <b/>
        <sz val="12"/>
        <rFont val="Times New Roman"/>
        <family val="1"/>
        <charset val="1"/>
      </rPr>
      <t xml:space="preserve">Funzionario referente </t>
    </r>
    <r>
      <rPr>
        <sz val="12"/>
        <rFont val="Times New Roman"/>
        <family val="1"/>
        <charset val="1"/>
      </rPr>
      <t>Marco Cittadini</t>
    </r>
  </si>
  <si>
    <t>AMMINISTRAZIONE</t>
  </si>
  <si>
    <t>n. telefono 06 68188299</t>
  </si>
  <si>
    <t>Dipartimento per la Giustizia Minorile e di Comunità</t>
  </si>
  <si>
    <t>E-mail PEC: prot.dgmc@giustiziacert.it</t>
  </si>
  <si>
    <t xml:space="preserve">                                                                                                                 E-mail  ______________________________________</t>
  </si>
  <si>
    <t>DIRIGENTI PENITENZIARI</t>
  </si>
  <si>
    <t>FASCIA</t>
  </si>
  <si>
    <t xml:space="preserve">Tabellare al 1/1/2021 (DPCM 25 luglio 2022)  </t>
  </si>
  <si>
    <t xml:space="preserve">Indennità integrativa speciale </t>
  </si>
  <si>
    <t xml:space="preserve">Tredicesima       </t>
  </si>
  <si>
    <t xml:space="preserve">Retribuzione totale pro capite lordo dipendente </t>
  </si>
  <si>
    <t xml:space="preserve">                                                                 Oneri a carico dello Stato  (27,83% su Stipendio a.l. e 24,20% su IIS) </t>
  </si>
  <si>
    <t xml:space="preserve">                                                               IRAP      (8,50%)</t>
  </si>
  <si>
    <t xml:space="preserve">                                               Opera Previdenza  (5,68% su Stipendio a.l. e 3,41% su IIS)</t>
  </si>
  <si>
    <t xml:space="preserve">Totale annuo pro-capite lordo stato   </t>
  </si>
  <si>
    <t xml:space="preserve">Unità in dotazione organica     </t>
  </si>
  <si>
    <t>VALORE FINANZIARIO DOTAZIONE ORGANICA            N=L*M</t>
  </si>
  <si>
    <t>DIRIGENTE GENERALE</t>
  </si>
  <si>
    <t>PRIMO DIRIGENTE</t>
  </si>
  <si>
    <t>DIRIGENTI</t>
  </si>
  <si>
    <t>Stipendio CCNL 2019-2021 (13 mensilità)</t>
  </si>
  <si>
    <t>IVC 2022-2024 per 13 mensilità con ulteriore incremento DDL Bilancio 2024</t>
  </si>
  <si>
    <t xml:space="preserve">Unità in dotazione organica </t>
  </si>
  <si>
    <t xml:space="preserve">VALORE FINANZIARIO DOTAZIONE ORGANICA    </t>
  </si>
  <si>
    <t>PRIMA</t>
  </si>
  <si>
    <t>SECONDA</t>
  </si>
  <si>
    <t>AREE</t>
  </si>
  <si>
    <t xml:space="preserve">Stipendio CCNL 2019-2021  (13 mensilità) </t>
  </si>
  <si>
    <t xml:space="preserve">Retribuzione di posizione variabile    </t>
  </si>
  <si>
    <t xml:space="preserve">Retribuzione di risultato       </t>
  </si>
  <si>
    <t xml:space="preserve">Retribuzione totale pro capite lordo dipendente   </t>
  </si>
  <si>
    <t xml:space="preserve">Oneri riflessi 38,38% (32,70% su retribuzione di risultato)  </t>
  </si>
  <si>
    <t xml:space="preserve">Tabellare + IIS per 12 mensilità CCNL 2019-2021 </t>
  </si>
  <si>
    <t>IVC 2022-2024 per 12 mensilità  con ulteriore incremento DDL Bilancio 2024</t>
  </si>
  <si>
    <t>Tredicesima       (tabellare + IVC)</t>
  </si>
  <si>
    <t>Totale annuo pro-capite lordo dipendente</t>
  </si>
  <si>
    <t>Funzionari</t>
  </si>
  <si>
    <t>Assistenti</t>
  </si>
  <si>
    <t>Operatori</t>
  </si>
  <si>
    <t>TOTALE</t>
  </si>
  <si>
    <t>NOTE</t>
  </si>
  <si>
    <t>Funzionario referente</t>
  </si>
  <si>
    <t>Marco Cittadini</t>
  </si>
  <si>
    <t>n. telefono</t>
  </si>
  <si>
    <t>06 68188299</t>
  </si>
  <si>
    <t xml:space="preserve">E-mail PEC: </t>
  </si>
  <si>
    <t>prot.dgmc@giustiziacert.it</t>
  </si>
  <si>
    <t>Spesa presenti in servizio + comandati in al 31 dicembre 2023</t>
  </si>
  <si>
    <r>
      <rPr>
        <b/>
        <sz val="12"/>
        <color rgb="FF000000"/>
        <rFont val="Times New Roman"/>
        <family val="1"/>
        <charset val="1"/>
      </rPr>
      <t>Totale unità presenti di ruolo</t>
    </r>
    <r>
      <rPr>
        <b/>
        <sz val="12"/>
        <color rgb="FFFF0000"/>
        <rFont val="Times New Roman"/>
        <family val="1"/>
        <charset val="1"/>
      </rPr>
      <t xml:space="preserve"> </t>
    </r>
    <r>
      <rPr>
        <b/>
        <sz val="12"/>
        <color rgb="FFED7D31"/>
        <rFont val="Times New Roman"/>
        <family val="1"/>
        <charset val="1"/>
      </rPr>
      <t xml:space="preserve">(1)        </t>
    </r>
  </si>
  <si>
    <r>
      <rPr>
        <b/>
        <sz val="12"/>
        <color rgb="FF000000"/>
        <rFont val="Times New Roman"/>
        <family val="1"/>
        <charset val="1"/>
      </rPr>
      <t xml:space="preserve">Totale  comandati in </t>
    </r>
    <r>
      <rPr>
        <b/>
        <sz val="12"/>
        <color rgb="FFED7D31"/>
        <rFont val="Times New Roman"/>
        <family val="1"/>
        <charset val="1"/>
      </rPr>
      <t xml:space="preserve">(2)      </t>
    </r>
  </si>
  <si>
    <t xml:space="preserve">TOTALE ONERE PRESENTI IN SERVIZIO   (Ruolo + comandati in)     </t>
  </si>
  <si>
    <t>Totale annuo pro-capite lordo stato</t>
  </si>
  <si>
    <r>
      <rPr>
        <b/>
        <sz val="12"/>
        <color rgb="FF000000"/>
        <rFont val="Times New Roman"/>
        <family val="1"/>
        <charset val="1"/>
      </rPr>
      <t>Totale  comandati in</t>
    </r>
    <r>
      <rPr>
        <b/>
        <sz val="12"/>
        <color rgb="FFED7D31"/>
        <rFont val="Times New Roman"/>
        <family val="1"/>
        <charset val="1"/>
      </rPr>
      <t xml:space="preserve"> (2) </t>
    </r>
    <r>
      <rPr>
        <b/>
        <sz val="12"/>
        <color rgb="FF000000"/>
        <rFont val="Times New Roman"/>
        <family val="1"/>
        <charset val="1"/>
      </rPr>
      <t xml:space="preserve">     </t>
    </r>
  </si>
  <si>
    <t>Altra voce retributiva fondamentale</t>
  </si>
  <si>
    <t xml:space="preserve">Totale annuo pro-capite lordo stato </t>
  </si>
  <si>
    <r>
      <rPr>
        <b/>
        <sz val="12"/>
        <color rgb="FFED7D31"/>
        <rFont val="Times New Roman"/>
        <family val="1"/>
        <charset val="1"/>
      </rPr>
      <t>(1)</t>
    </r>
    <r>
      <rPr>
        <b/>
        <sz val="12"/>
        <color rgb="FFFF0000"/>
        <rFont val="Times New Roman"/>
        <family val="1"/>
        <charset val="1"/>
      </rPr>
      <t xml:space="preserve"> </t>
    </r>
    <r>
      <rPr>
        <sz val="12"/>
        <color rgb="FF000000"/>
        <rFont val="Times New Roman"/>
        <family val="1"/>
        <charset val="1"/>
      </rPr>
      <t>comprese unità in regime di part-time</t>
    </r>
  </si>
  <si>
    <r>
      <rPr>
        <b/>
        <sz val="12"/>
        <color rgb="FFED7D31"/>
        <rFont val="Times New Roman"/>
        <family val="1"/>
        <charset val="1"/>
      </rPr>
      <t>(2)</t>
    </r>
    <r>
      <rPr>
        <b/>
        <sz val="12"/>
        <color rgb="FFFF0000"/>
        <rFont val="Times New Roman"/>
        <family val="1"/>
        <charset val="1"/>
      </rPr>
      <t xml:space="preserve"> </t>
    </r>
    <r>
      <rPr>
        <sz val="12"/>
        <color rgb="FF000000"/>
        <rFont val="Times New Roman"/>
        <family val="1"/>
        <charset val="1"/>
      </rPr>
      <t xml:space="preserve">o analogo istituto con oneri a carico dell'Amministrazione </t>
    </r>
  </si>
  <si>
    <t xml:space="preserve">Totale unità cessate     </t>
  </si>
  <si>
    <t xml:space="preserve">TOTALE RISORSE DA CESSAZIONI </t>
  </si>
  <si>
    <t xml:space="preserve">Pensione 24,2%  </t>
  </si>
  <si>
    <t>Buonuscita 5,68%</t>
  </si>
  <si>
    <t xml:space="preserve">IRAP       8,5%  </t>
  </si>
  <si>
    <r>
      <rPr>
        <sz val="12"/>
        <color rgb="FF000000"/>
        <rFont val="Times New Roman"/>
        <family val="1"/>
        <charset val="1"/>
      </rPr>
      <t>PRIMA</t>
    </r>
    <r>
      <rPr>
        <b/>
        <sz val="12"/>
        <color rgb="FFED7D31"/>
        <rFont val="Times New Roman"/>
        <family val="1"/>
        <charset val="1"/>
      </rPr>
      <t xml:space="preserve"> (2)</t>
    </r>
  </si>
  <si>
    <t xml:space="preserve">Buonuscita 5,68% </t>
  </si>
  <si>
    <t xml:space="preserve">IRAP       8,5%   </t>
  </si>
  <si>
    <t>di cui</t>
  </si>
  <si>
    <t>TOTALE  Dir. I Fascia</t>
  </si>
  <si>
    <t>TOTALE Dir. Pen.+Dir. II fascia+Aree</t>
  </si>
  <si>
    <t>TOTALE complessivo</t>
  </si>
  <si>
    <t xml:space="preserve">AREE
</t>
  </si>
  <si>
    <t>Programma bandire/assumere 2024</t>
  </si>
  <si>
    <t>Dirigenti Penitenziari</t>
  </si>
  <si>
    <t>Costo annuo 
pro-capite 
(lordo Stato)</t>
  </si>
  <si>
    <t>TIPOLOGIA DI RECLUTAMENTO</t>
  </si>
  <si>
    <t>(indicare n° unità per ogni tipologia)</t>
  </si>
  <si>
    <r>
      <rPr>
        <b/>
        <sz val="12"/>
        <color rgb="FF000000"/>
        <rFont val="Times New Roman"/>
        <family val="1"/>
        <charset val="1"/>
      </rPr>
      <t>Concorso pubblico</t>
    </r>
    <r>
      <rPr>
        <b/>
        <sz val="12"/>
        <color rgb="FFED7D31"/>
        <rFont val="Times New Roman"/>
        <family val="1"/>
        <charset val="1"/>
      </rPr>
      <t xml:space="preserve"> (1)</t>
    </r>
  </si>
  <si>
    <r>
      <rPr>
        <b/>
        <sz val="12"/>
        <color rgb="FF000000"/>
        <rFont val="Times New Roman"/>
        <family val="1"/>
        <charset val="1"/>
      </rPr>
      <t xml:space="preserve">Scorrimento graduatorie
</t>
    </r>
    <r>
      <rPr>
        <b/>
        <sz val="12"/>
        <color rgb="FFED7D31"/>
        <rFont val="Times New Roman"/>
        <family val="1"/>
        <charset val="1"/>
      </rPr>
      <t>(2)</t>
    </r>
  </si>
  <si>
    <r>
      <rPr>
        <b/>
        <sz val="12"/>
        <color rgb="FF000000"/>
        <rFont val="Times New Roman"/>
        <family val="1"/>
        <charset val="1"/>
      </rPr>
      <t xml:space="preserve">Art. 28, comma 1-ter d. lgs. 165/2001
</t>
    </r>
    <r>
      <rPr>
        <b/>
        <sz val="12"/>
        <color rgb="FFED7D31"/>
        <rFont val="Times New Roman"/>
        <family val="1"/>
        <charset val="1"/>
      </rPr>
      <t>(3)</t>
    </r>
  </si>
  <si>
    <r>
      <rPr>
        <b/>
        <sz val="12"/>
        <color rgb="FF000000"/>
        <rFont val="Times New Roman"/>
        <family val="1"/>
        <charset val="1"/>
      </rPr>
      <t xml:space="preserve">Stabilizzazioni
</t>
    </r>
    <r>
      <rPr>
        <b/>
        <sz val="12"/>
        <color rgb="FFED7D31"/>
        <rFont val="Times New Roman"/>
        <family val="1"/>
        <charset val="1"/>
      </rPr>
      <t>(4)</t>
    </r>
  </si>
  <si>
    <t>Mobilità da altre 
PPAA</t>
  </si>
  <si>
    <r>
      <rPr>
        <b/>
        <sz val="12"/>
        <color rgb="FF000000"/>
        <rFont val="Times New Roman"/>
        <family val="1"/>
        <charset val="1"/>
      </rPr>
      <t xml:space="preserve">Corso-concorso SNA </t>
    </r>
    <r>
      <rPr>
        <b/>
        <sz val="12"/>
        <color rgb="FFED7D31"/>
        <rFont val="Times New Roman"/>
        <family val="1"/>
        <charset val="1"/>
      </rPr>
      <t>(5)</t>
    </r>
  </si>
  <si>
    <t>Unità da assumere annualità 2024</t>
  </si>
  <si>
    <t>Valore finanziario Unità da assumere annualità 2024</t>
  </si>
  <si>
    <t>Dirigenti</t>
  </si>
  <si>
    <t>AREE/
CATEGORIE/
QUALIFICHE</t>
  </si>
  <si>
    <r>
      <rPr>
        <b/>
        <sz val="12"/>
        <color rgb="FF000000"/>
        <rFont val="Times New Roman"/>
        <family val="1"/>
        <charset val="1"/>
      </rPr>
      <t xml:space="preserve">Concorso pubblico
</t>
    </r>
    <r>
      <rPr>
        <b/>
        <sz val="12"/>
        <color rgb="FFED7D31"/>
        <rFont val="Times New Roman"/>
        <family val="1"/>
        <charset val="1"/>
      </rPr>
      <t>(1)</t>
    </r>
  </si>
  <si>
    <t>Mobilità da altre PPAA</t>
  </si>
  <si>
    <t>Riammissione in servizio</t>
  </si>
  <si>
    <r>
      <rPr>
        <b/>
        <sz val="12"/>
        <rFont val="Times New Roman"/>
        <family val="1"/>
        <charset val="1"/>
      </rPr>
      <t>Inquadramento ex art. 18 CCNL sul turnover</t>
    </r>
    <r>
      <rPr>
        <b/>
        <sz val="12"/>
        <color rgb="FFED7D31"/>
        <rFont val="Times New Roman"/>
        <family val="1"/>
        <charset val="1"/>
      </rPr>
      <t xml:space="preserve"> (7)</t>
    </r>
  </si>
  <si>
    <r>
      <rPr>
        <b/>
        <sz val="12"/>
        <color rgb="FF000000"/>
        <rFont val="Times New Roman"/>
        <family val="1"/>
        <charset val="1"/>
      </rPr>
      <t>Inquadramento ex art. 18 CCNL</t>
    </r>
    <r>
      <rPr>
        <b/>
        <vertAlign val="superscript"/>
        <sz val="12"/>
        <color rgb="FFFF0000"/>
        <rFont val="Times New Roman"/>
        <family val="1"/>
        <charset val="1"/>
      </rPr>
      <t xml:space="preserve"> </t>
    </r>
    <r>
      <rPr>
        <b/>
        <sz val="12"/>
        <color rgb="FF000000"/>
        <rFont val="Times New Roman"/>
        <family val="1"/>
        <charset val="1"/>
      </rPr>
      <t>sullo 0,55% del Monte Salari 2018</t>
    </r>
    <r>
      <rPr>
        <b/>
        <sz val="12"/>
        <color rgb="FFED7D31"/>
        <rFont val="Times New Roman"/>
        <family val="1"/>
        <charset val="1"/>
      </rPr>
      <t xml:space="preserve"> (8)</t>
    </r>
  </si>
  <si>
    <t>Area EP</t>
  </si>
  <si>
    <t>EP - Progressioni verticali</t>
  </si>
  <si>
    <t>Area Funzionari</t>
  </si>
  <si>
    <t>Progressioni
 verticali</t>
  </si>
  <si>
    <t>Area Assistenti</t>
  </si>
  <si>
    <t xml:space="preserve">Area Operatori </t>
  </si>
  <si>
    <r>
      <rPr>
        <b/>
        <sz val="12"/>
        <color rgb="FFED7D31"/>
        <rFont val="Times New Roman"/>
        <family val="1"/>
        <charset val="1"/>
      </rPr>
      <t xml:space="preserve">(6) </t>
    </r>
    <r>
      <rPr>
        <sz val="12"/>
        <rFont val="Times New Roman"/>
        <family val="1"/>
        <charset val="1"/>
      </rPr>
      <t>Indicare, nella riga in corrispondenza con il differenziale retributivo, le unità che gravano sul turnover. NB. le PV sono subordinate all'individuazione delle famiglie professionali</t>
    </r>
  </si>
  <si>
    <r>
      <rPr>
        <b/>
        <sz val="12"/>
        <color rgb="FFED7D31"/>
        <rFont val="Times New Roman"/>
        <family val="1"/>
        <charset val="1"/>
      </rPr>
      <t>(7)</t>
    </r>
    <r>
      <rPr>
        <sz val="12"/>
        <rFont val="Times New Roman"/>
        <family val="1"/>
        <charset val="1"/>
      </rPr>
      <t xml:space="preserve"> Indicare, nella riga in corrispondenza con il differenziale retributivo, solo le unità che gravano sul turnover ma che rientrano nella procedura transitoria (art. 18 CCNL 2019-2021). NB. le PV sono subordinate all'individuazione delle famiglie professionali</t>
    </r>
  </si>
  <si>
    <r>
      <rPr>
        <b/>
        <sz val="12"/>
        <color rgb="FFED7D31"/>
        <rFont val="Times New Roman"/>
        <family val="1"/>
        <charset val="1"/>
      </rPr>
      <t>(8)</t>
    </r>
    <r>
      <rPr>
        <sz val="12"/>
        <rFont val="Times New Roman"/>
        <family val="1"/>
        <charset val="1"/>
      </rPr>
      <t xml:space="preserve"> Indicare, a titolo ricognitivo, le unità che si prevede di inquadrare ex art. 18 CCNL 2019-2021 sullo 0,55% del Monte Salari 2018</t>
    </r>
  </si>
  <si>
    <r>
      <rPr>
        <b/>
        <sz val="12"/>
        <color rgb="FF000000"/>
        <rFont val="Times New Roman"/>
        <family val="1"/>
        <charset val="1"/>
      </rPr>
      <t>Budget  anno 2024</t>
    </r>
    <r>
      <rPr>
        <b/>
        <sz val="12"/>
        <color rgb="FFED7D31"/>
        <rFont val="Times New Roman"/>
        <family val="1"/>
        <charset val="1"/>
      </rPr>
      <t xml:space="preserve"> (2)</t>
    </r>
  </si>
  <si>
    <r>
      <rPr>
        <b/>
        <sz val="12"/>
        <color rgb="FF000000"/>
        <rFont val="Times New Roman"/>
        <family val="1"/>
        <charset val="1"/>
      </rPr>
      <t xml:space="preserve">Totale unità da assumere sul budget 2024  </t>
    </r>
    <r>
      <rPr>
        <b/>
        <sz val="12"/>
        <color rgb="FFED7D31"/>
        <rFont val="Times New Roman"/>
        <family val="1"/>
        <charset val="1"/>
      </rPr>
      <t xml:space="preserve"> (3)</t>
    </r>
  </si>
  <si>
    <t xml:space="preserve">TOTALE ONERI ASSUNZIONALI            </t>
  </si>
  <si>
    <r>
      <rPr>
        <b/>
        <sz val="12"/>
        <color rgb="FF000000"/>
        <rFont val="Times New Roman"/>
        <family val="1"/>
        <charset val="1"/>
      </rPr>
      <t xml:space="preserve">Totale  unità da assumere su budget già autorizzato da      d.P.C.M. ….                             </t>
    </r>
    <r>
      <rPr>
        <b/>
        <sz val="12"/>
        <color rgb="FFED7D31"/>
        <rFont val="Times New Roman"/>
        <family val="1"/>
        <charset val="1"/>
      </rPr>
      <t xml:space="preserve">   (4)       </t>
    </r>
  </si>
  <si>
    <t>EP</t>
  </si>
  <si>
    <t>EP (PV)</t>
  </si>
  <si>
    <t>Funzionari (PV)</t>
  </si>
  <si>
    <t>Assistenti (PV)</t>
  </si>
  <si>
    <t>DI CUI:</t>
  </si>
  <si>
    <t>TOTALE ONERI SU BUDGET 2024</t>
  </si>
  <si>
    <t xml:space="preserve">Totale  oneri da assumere su budget  già autorizzato da d.P.C.M. ….   </t>
  </si>
  <si>
    <t xml:space="preserve">TOTALE ONERI SU LEGGE……        </t>
  </si>
  <si>
    <r>
      <rPr>
        <b/>
        <sz val="12"/>
        <color rgb="FFED7D31"/>
        <rFont val="Times New Roman"/>
        <family val="1"/>
        <charset val="1"/>
      </rPr>
      <t>(1)</t>
    </r>
    <r>
      <rPr>
        <sz val="12"/>
        <rFont val="Times New Roman"/>
        <family val="1"/>
        <charset val="1"/>
      </rPr>
      <t xml:space="preserve"> Questa tabella va compilata per ciascuno degli anni della programmazione</t>
    </r>
  </si>
  <si>
    <r>
      <rPr>
        <b/>
        <sz val="12"/>
        <color rgb="FFED7D31"/>
        <rFont val="Times New Roman"/>
        <family val="1"/>
        <charset val="1"/>
      </rPr>
      <t>(2)</t>
    </r>
    <r>
      <rPr>
        <sz val="12"/>
        <rFont val="Times New Roman"/>
        <family val="1"/>
        <charset val="1"/>
      </rPr>
      <t xml:space="preserve"> Indicare il budget o cumulo di di budgets di cui si chiede l'autorizzazione</t>
    </r>
  </si>
  <si>
    <r>
      <rPr>
        <b/>
        <sz val="12"/>
        <color rgb="FFED7D31"/>
        <rFont val="Times New Roman"/>
        <family val="1"/>
        <charset val="1"/>
      </rPr>
      <t>(3)</t>
    </r>
    <r>
      <rPr>
        <sz val="12"/>
        <rFont val="Times New Roman"/>
        <family val="1"/>
        <charset val="1"/>
      </rPr>
      <t xml:space="preserve"> Indicare le unità sul budget di riferimento coerenti con la programmazione indicata in tabella "4.1 Bandire e assumere 2024".</t>
    </r>
  </si>
  <si>
    <r>
      <rPr>
        <b/>
        <sz val="12"/>
        <color rgb="FFED7D31"/>
        <rFont val="Times New Roman"/>
        <family val="1"/>
        <charset val="1"/>
      </rPr>
      <t>(5)</t>
    </r>
    <r>
      <rPr>
        <b/>
        <sz val="12"/>
        <color rgb="FFFF0000"/>
        <rFont val="Times New Roman"/>
        <family val="1"/>
        <charset val="1"/>
      </rPr>
      <t xml:space="preserve"> </t>
    </r>
    <r>
      <rPr>
        <sz val="12"/>
        <rFont val="Times New Roman"/>
        <family val="1"/>
        <charset val="1"/>
      </rPr>
      <t>Indicare le risorse stanziate da norme di autorizzazione ad assunzioni in deroga (aggiungere colonne qualora vi sia più di una autorizzazione ex lege), che si intende impiegare nell'anno preso in considerazione. Tuttavia, al fine di rendere le grandezze del piano omogenee, le risorse stanziate da leggi in deroga e gli oneri derivanti dalle unità che si intende assumere sono nettizzate in tabella dalle componenti accessorie della retribuzione. Prevedere una colonna anche per le PV ex art. 18 CCNL (7) sul 0,55% del Monte Salari 2018.</t>
    </r>
  </si>
  <si>
    <r>
      <rPr>
        <b/>
        <sz val="12"/>
        <color rgb="FF000000"/>
        <rFont val="Times New Roman"/>
        <family val="1"/>
        <charset val="1"/>
      </rPr>
      <t xml:space="preserve">Budget  anno 2025 </t>
    </r>
    <r>
      <rPr>
        <b/>
        <sz val="12"/>
        <color rgb="FFED7D31"/>
        <rFont val="Times New Roman"/>
        <family val="1"/>
        <charset val="1"/>
      </rPr>
      <t>(2)</t>
    </r>
  </si>
  <si>
    <r>
      <rPr>
        <b/>
        <sz val="12"/>
        <color rgb="FF000000"/>
        <rFont val="Times New Roman"/>
        <family val="1"/>
        <charset val="1"/>
      </rPr>
      <t xml:space="preserve">Assunzioni programmate anno 2025    </t>
    </r>
    <r>
      <rPr>
        <vertAlign val="superscript"/>
        <sz val="12"/>
        <color rgb="FFFF0000"/>
        <rFont val="Times New Roman"/>
        <family val="1"/>
        <charset val="1"/>
      </rPr>
      <t xml:space="preserve"> </t>
    </r>
    <r>
      <rPr>
        <b/>
        <sz val="12"/>
        <color rgb="FFED7D31"/>
        <rFont val="Times New Roman"/>
        <family val="1"/>
        <charset val="1"/>
      </rPr>
      <t>(1)</t>
    </r>
  </si>
  <si>
    <r>
      <rPr>
        <sz val="12"/>
        <color rgb="FF000000"/>
        <rFont val="Times New Roman"/>
        <family val="1"/>
        <charset val="1"/>
      </rPr>
      <t xml:space="preserve">Totale unità da assumere sul budget 2025 </t>
    </r>
    <r>
      <rPr>
        <b/>
        <sz val="12"/>
        <color rgb="FFED7D31"/>
        <rFont val="Times New Roman"/>
        <family val="1"/>
        <charset val="1"/>
      </rPr>
      <t>(3)</t>
    </r>
  </si>
  <si>
    <r>
      <rPr>
        <sz val="12"/>
        <color rgb="FF000000"/>
        <rFont val="Times New Roman"/>
        <family val="1"/>
        <charset val="1"/>
      </rPr>
      <t xml:space="preserve">Totale  unità da assumere su budget già autorizzato da      d.P.C.M. ….                          </t>
    </r>
    <r>
      <rPr>
        <sz val="12"/>
        <color rgb="FFED7D31"/>
        <rFont val="Times New Roman"/>
        <family val="1"/>
        <charset val="1"/>
      </rPr>
      <t xml:space="preserve">     </t>
    </r>
    <r>
      <rPr>
        <b/>
        <sz val="12"/>
        <color rgb="FFED7D31"/>
        <rFont val="Times New Roman"/>
        <family val="1"/>
        <charset val="1"/>
      </rPr>
      <t xml:space="preserve"> (4)       </t>
    </r>
  </si>
  <si>
    <r>
      <rPr>
        <sz val="12"/>
        <color rgb="FF000000"/>
        <rFont val="Times New Roman"/>
        <family val="1"/>
        <charset val="1"/>
      </rPr>
      <t xml:space="preserve">Totale  unità da assumere ex  lege …..   </t>
    </r>
    <r>
      <rPr>
        <b/>
        <sz val="12"/>
        <color rgb="FFED7D31"/>
        <rFont val="Times New Roman"/>
        <family val="1"/>
        <charset val="1"/>
      </rPr>
      <t xml:space="preserve"> (5)</t>
    </r>
  </si>
  <si>
    <t>TOTALE ONERI SU BUDGET 2025</t>
  </si>
  <si>
    <r>
      <rPr>
        <b/>
        <sz val="12"/>
        <color rgb="FFED7D31"/>
        <rFont val="Times New Roman"/>
        <family val="1"/>
        <charset val="1"/>
      </rPr>
      <t xml:space="preserve">(1) </t>
    </r>
    <r>
      <rPr>
        <sz val="12"/>
        <rFont val="Times New Roman"/>
        <family val="1"/>
        <charset val="1"/>
      </rPr>
      <t>Questa tabella va compilata per ciascuno degli anni della programmazione</t>
    </r>
  </si>
  <si>
    <r>
      <rPr>
        <b/>
        <sz val="12"/>
        <color rgb="FFED7D31"/>
        <rFont val="Times New Roman"/>
        <family val="1"/>
        <charset val="1"/>
      </rPr>
      <t xml:space="preserve">(3) </t>
    </r>
    <r>
      <rPr>
        <sz val="12"/>
        <rFont val="Times New Roman"/>
        <family val="1"/>
        <charset val="1"/>
      </rPr>
      <t>Indicare le unità sul budget di riferimento.</t>
    </r>
  </si>
  <si>
    <r>
      <rPr>
        <b/>
        <sz val="12"/>
        <color rgb="FFED7D31"/>
        <rFont val="Times New Roman"/>
        <family val="1"/>
        <charset val="1"/>
      </rPr>
      <t>(4)</t>
    </r>
    <r>
      <rPr>
        <sz val="12"/>
        <rFont val="Times New Roman"/>
        <family val="1"/>
        <charset val="1"/>
      </rPr>
      <t xml:space="preserve"> Indicare le unità già autorizzata da d.P.C.M. che si prevede di assumere nell'anno di riferimento, anche a seguito di rimodulazione.</t>
    </r>
  </si>
  <si>
    <r>
      <rPr>
        <b/>
        <sz val="12"/>
        <color rgb="FFED7D31"/>
        <rFont val="Times New Roman"/>
        <family val="1"/>
        <charset val="1"/>
      </rPr>
      <t>(5)</t>
    </r>
    <r>
      <rPr>
        <sz val="12"/>
        <rFont val="Times New Roman"/>
        <family val="1"/>
        <charset val="1"/>
      </rPr>
      <t xml:space="preserve"> Indicare le risorse stanziate da norme di autorizzazione ad assunzioni in deroga (aggiungere colonne qualora vi sia più di una autorizzazione ex lege), che si intende impiegare nell'anno preso in considerazione. Tuttavia, al fine di rendere le grandezze del piano omogenee, le risorse stanziate da leggi in deroga e gli oneri derivanti dalle unità che si intende assumere sono nettizzate in tabella dalle componenti accessorie della retribuzione. Prevedere una colonna anche per le PV ex art. 18 CCNL (7) sul 0,55% del Monte Salari 2018.</t>
    </r>
  </si>
  <si>
    <r>
      <rPr>
        <b/>
        <sz val="12"/>
        <color rgb="FF000000"/>
        <rFont val="Times New Roman"/>
        <family val="1"/>
        <charset val="1"/>
      </rPr>
      <t>Budget  anno 2026</t>
    </r>
    <r>
      <rPr>
        <b/>
        <sz val="12"/>
        <color rgb="FFED7D31"/>
        <rFont val="Times New Roman"/>
        <family val="1"/>
        <charset val="1"/>
      </rPr>
      <t xml:space="preserve"> (2)</t>
    </r>
  </si>
  <si>
    <r>
      <rPr>
        <b/>
        <sz val="12"/>
        <color rgb="FF000000"/>
        <rFont val="Times New Roman"/>
        <family val="1"/>
        <charset val="1"/>
      </rPr>
      <t xml:space="preserve">Assunzioni programmate anno 2026 </t>
    </r>
    <r>
      <rPr>
        <b/>
        <sz val="12"/>
        <color rgb="FFED7D31"/>
        <rFont val="Times New Roman"/>
        <family val="1"/>
        <charset val="1"/>
      </rPr>
      <t xml:space="preserve"> </t>
    </r>
    <r>
      <rPr>
        <b/>
        <vertAlign val="superscript"/>
        <sz val="12"/>
        <color rgb="FFED7D31"/>
        <rFont val="Times New Roman"/>
        <family val="1"/>
        <charset val="1"/>
      </rPr>
      <t xml:space="preserve"> </t>
    </r>
    <r>
      <rPr>
        <b/>
        <sz val="12"/>
        <color rgb="FFED7D31"/>
        <rFont val="Times New Roman"/>
        <family val="1"/>
        <charset val="1"/>
      </rPr>
      <t>(1)</t>
    </r>
  </si>
  <si>
    <r>
      <rPr>
        <sz val="12"/>
        <color rgb="FF000000"/>
        <rFont val="Times New Roman"/>
        <family val="1"/>
        <charset val="1"/>
      </rPr>
      <t xml:space="preserve">Totale unità da assumere sul budget 2026 </t>
    </r>
    <r>
      <rPr>
        <b/>
        <sz val="12"/>
        <color rgb="FFED7D31"/>
        <rFont val="Times New Roman"/>
        <family val="1"/>
        <charset val="1"/>
      </rPr>
      <t xml:space="preserve">  (3)</t>
    </r>
  </si>
  <si>
    <r>
      <rPr>
        <sz val="12"/>
        <color rgb="FF000000"/>
        <rFont val="Times New Roman"/>
        <family val="1"/>
        <charset val="1"/>
      </rPr>
      <t xml:space="preserve">Totale  unità da assumere su budget già autorizzato da      d.P.C.M. ….                            </t>
    </r>
    <r>
      <rPr>
        <b/>
        <sz val="12"/>
        <color rgb="FFED7D31"/>
        <rFont val="Times New Roman"/>
        <family val="1"/>
        <charset val="1"/>
      </rPr>
      <t xml:space="preserve">    (4)       </t>
    </r>
  </si>
  <si>
    <r>
      <rPr>
        <sz val="12"/>
        <color rgb="FF000000"/>
        <rFont val="Times New Roman"/>
        <family val="1"/>
        <charset val="1"/>
      </rPr>
      <t xml:space="preserve">Totale  unità da assumere ex  lege ….. </t>
    </r>
    <r>
      <rPr>
        <i/>
        <sz val="12"/>
        <color rgb="FF000000"/>
        <rFont val="Times New Roman"/>
        <family val="1"/>
        <charset val="1"/>
      </rPr>
      <t xml:space="preserve">  </t>
    </r>
    <r>
      <rPr>
        <sz val="12"/>
        <color rgb="FFED7D31"/>
        <rFont val="Times New Roman"/>
        <family val="1"/>
        <charset val="1"/>
      </rPr>
      <t xml:space="preserve"> </t>
    </r>
    <r>
      <rPr>
        <b/>
        <sz val="12"/>
        <color rgb="FFED7D31"/>
        <rFont val="Times New Roman"/>
        <family val="1"/>
        <charset val="1"/>
      </rPr>
      <t>(5)</t>
    </r>
  </si>
  <si>
    <r>
      <rPr>
        <sz val="12"/>
        <color rgb="FF000000"/>
        <rFont val="Times New Roman"/>
        <family val="1"/>
        <charset val="1"/>
      </rPr>
      <t xml:space="preserve">Totale unità da assumere sul budget 2026 </t>
    </r>
    <r>
      <rPr>
        <b/>
        <sz val="12"/>
        <color rgb="FFFF0000"/>
        <rFont val="Times New Roman"/>
        <family val="1"/>
        <charset val="1"/>
      </rPr>
      <t xml:space="preserve">  </t>
    </r>
    <r>
      <rPr>
        <b/>
        <sz val="12"/>
        <color rgb="FFED7D31"/>
        <rFont val="Times New Roman"/>
        <family val="1"/>
        <charset val="1"/>
      </rPr>
      <t>(3)</t>
    </r>
  </si>
  <si>
    <r>
      <rPr>
        <sz val="12"/>
        <color rgb="FF000000"/>
        <rFont val="Times New Roman"/>
        <family val="1"/>
        <charset val="1"/>
      </rPr>
      <t xml:space="preserve">Totale  unità da assumere su budget già autorizzato da      d.P.C.M. ….                            </t>
    </r>
    <r>
      <rPr>
        <b/>
        <sz val="12"/>
        <color rgb="FFFF0000"/>
        <rFont val="Times New Roman"/>
        <family val="1"/>
        <charset val="1"/>
      </rPr>
      <t xml:space="preserve">  </t>
    </r>
    <r>
      <rPr>
        <b/>
        <sz val="12"/>
        <color rgb="FFED7D31"/>
        <rFont val="Times New Roman"/>
        <family val="1"/>
        <charset val="1"/>
      </rPr>
      <t xml:space="preserve">  (4)       </t>
    </r>
  </si>
  <si>
    <r>
      <rPr>
        <sz val="12"/>
        <color rgb="FF000000"/>
        <rFont val="Times New Roman"/>
        <family val="1"/>
        <charset val="1"/>
      </rPr>
      <t xml:space="preserve">Totale  unità da assumere ex  lege ….. </t>
    </r>
    <r>
      <rPr>
        <i/>
        <sz val="12"/>
        <color rgb="FF000000"/>
        <rFont val="Times New Roman"/>
        <family val="1"/>
        <charset val="1"/>
      </rPr>
      <t xml:space="preserve">  </t>
    </r>
    <r>
      <rPr>
        <sz val="12"/>
        <color rgb="FF000000"/>
        <rFont val="Times New Roman"/>
        <family val="1"/>
        <charset val="1"/>
      </rPr>
      <t xml:space="preserve"> </t>
    </r>
    <r>
      <rPr>
        <b/>
        <sz val="12"/>
        <color rgb="FFED7D31"/>
        <rFont val="Times New Roman"/>
        <family val="1"/>
        <charset val="1"/>
      </rPr>
      <t>(5)</t>
    </r>
  </si>
  <si>
    <r>
      <rPr>
        <sz val="12"/>
        <color rgb="FF000000"/>
        <rFont val="Times New Roman"/>
        <family val="1"/>
        <charset val="1"/>
      </rPr>
      <t xml:space="preserve">Totale unità da assumere sul budget 2026 </t>
    </r>
    <r>
      <rPr>
        <b/>
        <sz val="12"/>
        <color rgb="FFFF0000"/>
        <rFont val="Times New Roman"/>
        <family val="1"/>
        <charset val="1"/>
      </rPr>
      <t xml:space="preserve"> </t>
    </r>
    <r>
      <rPr>
        <b/>
        <sz val="12"/>
        <color rgb="FFED7D31"/>
        <rFont val="Times New Roman"/>
        <family val="1"/>
        <charset val="1"/>
      </rPr>
      <t xml:space="preserve"> (3)</t>
    </r>
  </si>
  <si>
    <t>TOTALE ONERI SU BUDGET 2026</t>
  </si>
  <si>
    <r>
      <rPr>
        <b/>
        <sz val="12"/>
        <color rgb="FFED7D31"/>
        <rFont val="Times New Roman"/>
        <family val="1"/>
        <charset val="1"/>
      </rPr>
      <t>(3)</t>
    </r>
    <r>
      <rPr>
        <sz val="12"/>
        <rFont val="Times New Roman"/>
        <family val="1"/>
        <charset val="1"/>
      </rPr>
      <t xml:space="preserve"> Indicare le unità sul budget di riferimento.</t>
    </r>
  </si>
  <si>
    <r>
      <rPr>
        <b/>
        <sz val="12"/>
        <color rgb="FFED7D31"/>
        <rFont val="Times New Roman"/>
        <family val="1"/>
        <charset val="1"/>
      </rPr>
      <t xml:space="preserve">(5) </t>
    </r>
    <r>
      <rPr>
        <sz val="12"/>
        <rFont val="Times New Roman"/>
        <family val="1"/>
        <charset val="1"/>
      </rPr>
      <t>Indicare le risorse stanziate da norme di autorizzazione ad assunzioni in deroga (aggiungere colonne qualora vi sia più di una autorizzazione ex lege), che si intende impiegare nell'anno preso in considerazione. Tuttavia, al fine di rendere le grandezze del piano omogenee, le risorse stanziate da leggi in deroga e gli oneri derivanti dalle unità che si intende assumere sono nettizzate in tabella dalle componenti accessorie della retribuzione. Prevedere una colonna anche per le PV ex art. 18 CCNL (7) sul 0,55% del Monte Salari 2018.</t>
    </r>
  </si>
  <si>
    <r>
      <rPr>
        <b/>
        <sz val="12"/>
        <color rgb="FF000000"/>
        <rFont val="Times New Roman"/>
        <family val="1"/>
        <charset val="1"/>
      </rPr>
      <t xml:space="preserve">Spesa comandati al 31/12/2023  </t>
    </r>
    <r>
      <rPr>
        <b/>
        <sz val="12"/>
        <color rgb="FFED7D31"/>
        <rFont val="Times New Roman"/>
        <family val="1"/>
        <charset val="1"/>
      </rPr>
      <t>(1)</t>
    </r>
  </si>
  <si>
    <r>
      <rPr>
        <b/>
        <sz val="12"/>
        <color rgb="FF000000"/>
        <rFont val="Times New Roman"/>
        <family val="1"/>
        <charset val="1"/>
      </rPr>
      <t xml:space="preserve">Totale  comandati out </t>
    </r>
    <r>
      <rPr>
        <b/>
        <sz val="12"/>
        <color rgb="FFED7D31"/>
        <rFont val="Times New Roman"/>
        <family val="1"/>
        <charset val="1"/>
      </rPr>
      <t xml:space="preserve">(1)   </t>
    </r>
  </si>
  <si>
    <t>TOTALE ONERE COMANDATI OUT 31/12/2023</t>
  </si>
  <si>
    <r>
      <rPr>
        <b/>
        <sz val="12"/>
        <color rgb="FFED7D31"/>
        <rFont val="Calibri"/>
        <family val="2"/>
        <charset val="1"/>
      </rPr>
      <t xml:space="preserve">(1) </t>
    </r>
    <r>
      <rPr>
        <sz val="12"/>
        <color rgb="FF000000"/>
        <rFont val="Calibri"/>
        <family val="2"/>
        <charset val="1"/>
      </rPr>
      <t>o analogo istituto non retribuito dall'amministrazio edi appartenenza, come aspettativa, personale fuori ruolo etc.</t>
    </r>
  </si>
  <si>
    <t>ANNO DELLA PROGRAMMAZIONE</t>
  </si>
  <si>
    <r>
      <rPr>
        <sz val="10"/>
        <rFont val="Times New Roman"/>
        <family val="1"/>
        <charset val="1"/>
      </rPr>
      <t xml:space="preserve">VALORE FINANZIARIO PRESENTI IN SERVIZIO E COMANDATI IN AL 31.12.2023  </t>
    </r>
    <r>
      <rPr>
        <b/>
        <sz val="10"/>
        <color rgb="FFED7D31"/>
        <rFont val="Times New Roman"/>
        <family val="1"/>
        <charset val="1"/>
      </rPr>
      <t xml:space="preserve">(1) </t>
    </r>
  </si>
  <si>
    <t>+</t>
  </si>
  <si>
    <r>
      <rPr>
        <sz val="10"/>
        <rFont val="Times New Roman"/>
        <family val="1"/>
        <charset val="1"/>
      </rPr>
      <t xml:space="preserve">VALORE FINANZIARIO COMANDATI OUT AL  31.12.2023 </t>
    </r>
    <r>
      <rPr>
        <b/>
        <sz val="10"/>
        <color rgb="FFED7D31"/>
        <rFont val="Times New Roman"/>
        <family val="1"/>
        <charset val="1"/>
      </rPr>
      <t>(2)</t>
    </r>
  </si>
  <si>
    <t>VALORE FINANZIARIO CESSAZIONI DAL SERVIZIO ANNO 2024</t>
  </si>
  <si>
    <t>-</t>
  </si>
  <si>
    <t>VALORE FINANZIARIO ASSUNZIONI SU TURN-OVER NEL 2024</t>
  </si>
  <si>
    <t>VALORE FINANZIARIO ASSUNZIONI 2024 SU BUDGET RIMODULATO GIA' AUTORIZZATO DA D.P.C.M.  ….</t>
  </si>
  <si>
    <t>VALORE FINANZIARIO ASSUNZIONI EX LEGE NEL 2024</t>
  </si>
  <si>
    <t>≤</t>
  </si>
  <si>
    <t>VALORE FINANZIARIO DOTAZIONE ORGANICA AL 31.12.2023</t>
  </si>
  <si>
    <r>
      <rPr>
        <b/>
        <sz val="10"/>
        <color rgb="FFED7D31"/>
        <rFont val="Times New Roman"/>
        <family val="1"/>
        <charset val="1"/>
      </rPr>
      <t xml:space="preserve">(1) </t>
    </r>
    <r>
      <rPr>
        <sz val="10"/>
        <rFont val="Times New Roman"/>
        <family val="1"/>
        <charset val="1"/>
      </rPr>
      <t>o analoghi istituti con oneri a carico dell'amministrazione</t>
    </r>
  </si>
  <si>
    <r>
      <rPr>
        <b/>
        <sz val="10"/>
        <color rgb="FFED7D31"/>
        <rFont val="Times New Roman"/>
        <family val="1"/>
        <charset val="1"/>
      </rPr>
      <t>(2)</t>
    </r>
    <r>
      <rPr>
        <sz val="10"/>
        <rFont val="Times New Roman"/>
        <family val="1"/>
        <charset val="1"/>
      </rPr>
      <t xml:space="preserve">  la spesa relativa al personale comandato presso altra amministrazione (out), così come quella del personale in aspettativa e fuori ruolo, pur non essendo sostenuta dall' ente di appartenenza,  deve essere accantonata per il caso di rientro in servizio delle predette unità.</t>
    </r>
  </si>
  <si>
    <t>Tab. 1</t>
  </si>
  <si>
    <t>Tab. 2</t>
  </si>
  <si>
    <t>Tab. 3.1</t>
  </si>
  <si>
    <t>Tab. 3.2</t>
  </si>
  <si>
    <t>Tab. 3.3</t>
  </si>
  <si>
    <t>Tab. 3.4</t>
  </si>
  <si>
    <t>Tab. 4.1</t>
  </si>
  <si>
    <t>Tab. 4.2</t>
  </si>
  <si>
    <t>Tab. 4.3</t>
  </si>
  <si>
    <t>Tab. 4.4</t>
  </si>
  <si>
    <t>Tab.   5</t>
  </si>
  <si>
    <t>Tab. 6</t>
  </si>
  <si>
    <t xml:space="preserve">Valore finanziario dotazione organica al 31.12.2023 - DM 12 aprile 2023 </t>
  </si>
  <si>
    <t>Progressioni di carriera (art. 52 d. lgs. 165/2001)</t>
  </si>
  <si>
    <r>
      <t xml:space="preserve">10° Corso-concorso SNA </t>
    </r>
    <r>
      <rPr>
        <b/>
        <sz val="12"/>
        <color rgb="FFED7D31"/>
        <rFont val="Times New Roman"/>
        <family val="1"/>
        <charset val="1"/>
      </rPr>
      <t>(5)</t>
    </r>
  </si>
  <si>
    <r>
      <t xml:space="preserve">Assunzioni programmate anno 2024   </t>
    </r>
    <r>
      <rPr>
        <b/>
        <sz val="12"/>
        <color rgb="FFED7D31"/>
        <rFont val="Times New Roman"/>
        <family val="1"/>
        <charset val="1"/>
      </rPr>
      <t>(1)</t>
    </r>
  </si>
  <si>
    <t>ASSUNZIONI AUTORIZZATE</t>
  </si>
  <si>
    <t>Normativa di riferimento</t>
  </si>
  <si>
    <t>Note</t>
  </si>
  <si>
    <t>DPCM 29 marzo 2022</t>
  </si>
  <si>
    <t>In attesa DPCM</t>
  </si>
  <si>
    <t xml:space="preserve">Legge 160, 27 dicembre 2019 </t>
  </si>
  <si>
    <t>Legge n. 145, 30 dicembre 2018</t>
  </si>
  <si>
    <t>Concorso in atto</t>
  </si>
  <si>
    <t>DPCM 20 agosto 2019</t>
  </si>
  <si>
    <t>Legge n. 178, 30 dicembre 2020</t>
  </si>
  <si>
    <t xml:space="preserve">DPCM  15 novembre 2018 </t>
  </si>
  <si>
    <t>Area</t>
  </si>
  <si>
    <t>Funzionari:</t>
  </si>
  <si>
    <t>DPCM 11 maggio 2023</t>
  </si>
  <si>
    <t>DPCM 10 novembre 2023</t>
  </si>
  <si>
    <t>DPCM 22 luglio 2022</t>
  </si>
  <si>
    <t>Unità autorizzate da assumere</t>
  </si>
  <si>
    <t>da DPCM</t>
  </si>
  <si>
    <t>EX LEGE</t>
  </si>
  <si>
    <t>Assistenti:</t>
  </si>
  <si>
    <t>Dirigenti:</t>
  </si>
  <si>
    <t>Dirigenti penitenziari:</t>
  </si>
  <si>
    <t xml:space="preserve">EP </t>
  </si>
  <si>
    <t xml:space="preserve">Pensione 24,2%  
</t>
  </si>
  <si>
    <t xml:space="preserve">IRAP   8,5%
</t>
  </si>
  <si>
    <t xml:space="preserve">Altra voce retributiva fondamentale </t>
  </si>
  <si>
    <r>
      <t xml:space="preserve">EP </t>
    </r>
    <r>
      <rPr>
        <sz val="12"/>
        <color rgb="FFED7D31"/>
        <rFont val="Times New Roman"/>
        <family val="1"/>
        <charset val="1"/>
      </rPr>
      <t xml:space="preserve"> </t>
    </r>
  </si>
  <si>
    <t xml:space="preserve">Buonuscita 5,68%
</t>
  </si>
  <si>
    <t xml:space="preserve">                                                               IRAP        (8,50%)</t>
  </si>
  <si>
    <t>Risorse finanziarie personale cessato  al 31 dicembre 2023</t>
  </si>
  <si>
    <r>
      <t>PRIMA</t>
    </r>
    <r>
      <rPr>
        <b/>
        <sz val="12"/>
        <color rgb="FFED7D31"/>
        <rFont val="Times New Roman"/>
        <family val="1"/>
        <charset val="1"/>
      </rPr>
      <t xml:space="preserve"> </t>
    </r>
  </si>
  <si>
    <r>
      <t xml:space="preserve">Risorse finanziarie personale cessato  al 31 dicembre 2024 </t>
    </r>
    <r>
      <rPr>
        <b/>
        <sz val="12"/>
        <color rgb="FFED7D31"/>
        <rFont val="Times New Roman"/>
        <family val="1"/>
        <charset val="1"/>
      </rPr>
      <t xml:space="preserve"> </t>
    </r>
  </si>
  <si>
    <r>
      <t>Risorse finanziarie personale cessato  al 31 dicembre 2025</t>
    </r>
    <r>
      <rPr>
        <b/>
        <sz val="12"/>
        <color rgb="FFED7D31"/>
        <rFont val="Times New Roman"/>
        <family val="1"/>
        <charset val="1"/>
      </rPr>
      <t xml:space="preserve"> </t>
    </r>
  </si>
  <si>
    <r>
      <t>PRIMA</t>
    </r>
    <r>
      <rPr>
        <b/>
        <sz val="12"/>
        <color rgb="FFFF0000"/>
        <rFont val="Times New Roman"/>
        <family val="1"/>
        <charset val="1"/>
      </rPr>
      <t xml:space="preserve"> </t>
    </r>
  </si>
  <si>
    <t>Risorse finanziarie personale cessato  al 31 dicembre 2026</t>
  </si>
  <si>
    <t>All. a)</t>
  </si>
  <si>
    <r>
      <t xml:space="preserve">Totale unità da assumere sul budget 2024   </t>
    </r>
    <r>
      <rPr>
        <b/>
        <sz val="12"/>
        <color rgb="FFED7D31"/>
        <rFont val="Times New Roman"/>
        <family val="1"/>
        <charset val="1"/>
      </rPr>
      <t>(3)</t>
    </r>
  </si>
  <si>
    <t xml:space="preserve">Totale  oneri da assumere su budget  già autorizzato da d.P.C.M. </t>
  </si>
  <si>
    <r>
      <t>(4)</t>
    </r>
    <r>
      <rPr>
        <sz val="12"/>
        <rFont val="Times New Roman"/>
        <family val="1"/>
        <charset val="1"/>
      </rPr>
      <t xml:space="preserve"> Indicare le unità già autorizzate da d.P.C.M. che si prevede di assumere nell'anno di riferimento, anche a seguito di rimodulazione.</t>
    </r>
  </si>
  <si>
    <r>
      <t xml:space="preserve">Totale  unità da assumere su budget già autorizzato da      d.P.C.M.  11/05/2023                               </t>
    </r>
    <r>
      <rPr>
        <b/>
        <sz val="12"/>
        <color rgb="FFED7D31"/>
        <rFont val="Times New Roman"/>
        <family val="1"/>
        <charset val="1"/>
      </rPr>
      <t xml:space="preserve">       </t>
    </r>
  </si>
  <si>
    <r>
      <t xml:space="preserve">Totale  unità da assumere su budget già autorizzato da      d.P.C.M. 10/11/2023                           </t>
    </r>
    <r>
      <rPr>
        <b/>
        <sz val="12"/>
        <color rgb="FFED7D31"/>
        <rFont val="Times New Roman"/>
        <family val="1"/>
        <charset val="1"/>
      </rPr>
      <t xml:space="preserve">           </t>
    </r>
  </si>
  <si>
    <r>
      <t xml:space="preserve">Totale  unità da assumere su budget già autorizzato da      d.P.C.M. 10/11/2023                               </t>
    </r>
    <r>
      <rPr>
        <b/>
        <sz val="12"/>
        <color rgb="FFED7D31"/>
        <rFont val="Times New Roman"/>
        <family val="1"/>
        <charset val="1"/>
      </rPr>
      <t xml:space="preserve">   </t>
    </r>
  </si>
  <si>
    <r>
      <t xml:space="preserve">Totale  unità da assumere su budget già autorizzato da      d.P.C.M. 22/07/2022                              </t>
    </r>
    <r>
      <rPr>
        <b/>
        <sz val="12"/>
        <color rgb="FFED7D31"/>
        <rFont val="Times New Roman"/>
        <family val="1"/>
        <charset val="1"/>
      </rPr>
      <t xml:space="preserve">  </t>
    </r>
  </si>
  <si>
    <r>
      <t xml:space="preserve">Totale  unità da assumere su budget già autorizzato da      d.P.C.M. 29/03/2022                               </t>
    </r>
    <r>
      <rPr>
        <b/>
        <sz val="12"/>
        <color rgb="FFED7D31"/>
        <rFont val="Times New Roman"/>
        <family val="1"/>
        <charset val="1"/>
      </rPr>
      <t xml:space="preserve">   </t>
    </r>
  </si>
  <si>
    <t xml:space="preserve">Totale  unità da assumere ex  lege     Legge 160/2019   </t>
  </si>
  <si>
    <r>
      <t xml:space="preserve">Totale  unità da assumere ex  lege     Legge 145/2018   </t>
    </r>
    <r>
      <rPr>
        <b/>
        <sz val="12"/>
        <color rgb="FFED7D31"/>
        <rFont val="Times New Roman"/>
        <family val="1"/>
        <charset val="1"/>
      </rPr>
      <t xml:space="preserve"> </t>
    </r>
  </si>
  <si>
    <r>
      <t xml:space="preserve">Totale  unità da assumere su budget già autorizzato da      d.P.C.M. 10/11/2023                        </t>
    </r>
    <r>
      <rPr>
        <b/>
        <sz val="12"/>
        <color rgb="FFED7D31"/>
        <rFont val="Times New Roman"/>
        <family val="1"/>
      </rPr>
      <t xml:space="preserve">      </t>
    </r>
  </si>
  <si>
    <r>
      <t xml:space="preserve">Totale  unità da assumere su budget già autorizzato da      d.P.C.M. 11/05/2023                         </t>
    </r>
    <r>
      <rPr>
        <b/>
        <sz val="12"/>
        <color rgb="FFED7D31"/>
        <rFont val="Times New Roman"/>
        <family val="1"/>
      </rPr>
      <t xml:space="preserve">         </t>
    </r>
  </si>
  <si>
    <r>
      <t xml:space="preserve">Totale  unità da assumere su budget già autorizzato da      d.P.C.M. 22/07/2022                        </t>
    </r>
    <r>
      <rPr>
        <b/>
        <sz val="12"/>
        <color rgb="FFED7D31"/>
        <rFont val="Times New Roman"/>
        <family val="1"/>
      </rPr>
      <t xml:space="preserve">        </t>
    </r>
  </si>
  <si>
    <r>
      <t xml:space="preserve">Totale  unità da assumere su budget già autorizzato da      d.P.C.M. 20/08/2019                        </t>
    </r>
    <r>
      <rPr>
        <b/>
        <sz val="12"/>
        <color rgb="FFED7D31"/>
        <rFont val="Times New Roman"/>
        <family val="1"/>
      </rPr>
      <t xml:space="preserve">         </t>
    </r>
  </si>
  <si>
    <r>
      <t xml:space="preserve">Totale  unità da assumere su budget già autorizzato da      d.P.C.M. 10/11/2023                               </t>
    </r>
    <r>
      <rPr>
        <b/>
        <sz val="12"/>
        <color rgb="FFED7D31"/>
        <rFont val="Times New Roman"/>
        <family val="1"/>
        <charset val="1"/>
      </rPr>
      <t xml:space="preserve">  </t>
    </r>
  </si>
  <si>
    <t xml:space="preserve">Totale  unità da assumere su budget già autorizzato da      d.P.C.M. 22/07/2022                              </t>
  </si>
  <si>
    <t xml:space="preserve">Totale  unità da assumere su budget già autorizzato da      d.P.C.M. 15/11/2018                              </t>
  </si>
  <si>
    <t>Totale  unità da assumere ex  lege Legge 178/2020</t>
  </si>
  <si>
    <t>Totale  unità da assumere ex  lege DL 36/2022 - Legge 79/2022</t>
  </si>
  <si>
    <t>Totale  unità da assumere ex  lege DL 36/2022  -Legge 79/2022</t>
  </si>
  <si>
    <t>Legge 79, 22 giugno 2022 - DL 36/2022</t>
  </si>
  <si>
    <r>
      <t>Totale unità da assumere sul budget 2024</t>
    </r>
    <r>
      <rPr>
        <b/>
        <sz val="12"/>
        <color rgb="FFED7D31"/>
        <rFont val="Times New Roman"/>
        <family val="1"/>
        <charset val="1"/>
      </rPr>
      <t xml:space="preserve">  </t>
    </r>
    <r>
      <rPr>
        <b/>
        <sz val="12"/>
        <rFont val="Times New Roman"/>
        <family val="1"/>
      </rPr>
      <t xml:space="preserve"> *</t>
    </r>
  </si>
  <si>
    <t>* Nell'anno 2024 sono previste, inoltre, n. 33 assunzioni di categorie protette da inquadrare nell'area degli Assistenti</t>
  </si>
  <si>
    <r>
      <t xml:space="preserve">Totale  unità da assumere su budget già autorizzato da      d.P.C.M. 10/11/2023                            </t>
    </r>
    <r>
      <rPr>
        <b/>
        <sz val="12"/>
        <color rgb="FFFF0000"/>
        <rFont val="Times New Roman"/>
        <family val="1"/>
      </rPr>
      <t xml:space="preserve">  </t>
    </r>
    <r>
      <rPr>
        <b/>
        <sz val="12"/>
        <color rgb="FFED7D31"/>
        <rFont val="Times New Roman"/>
        <family val="1"/>
      </rPr>
      <t xml:space="preserve"> </t>
    </r>
  </si>
  <si>
    <r>
      <t xml:space="preserve">Totale  unità da assumere su budget già autorizzato da      d.P.C.M. 11/05/2023                            </t>
    </r>
    <r>
      <rPr>
        <b/>
        <sz val="12"/>
        <color rgb="FFFF0000"/>
        <rFont val="Times New Roman"/>
        <family val="1"/>
      </rPr>
      <t xml:space="preserve">  </t>
    </r>
    <r>
      <rPr>
        <b/>
        <sz val="12"/>
        <color rgb="FFED7D31"/>
        <rFont val="Times New Roman"/>
        <family val="1"/>
      </rPr>
      <t xml:space="preserve"> </t>
    </r>
  </si>
  <si>
    <r>
      <t xml:space="preserve">Totale  unità da assumere su budget già autorizzato da      d.P.C.M. 22/07/2022                            </t>
    </r>
    <r>
      <rPr>
        <b/>
        <sz val="12"/>
        <color rgb="FFFF0000"/>
        <rFont val="Times New Roman"/>
        <family val="1"/>
      </rPr>
      <t xml:space="preserve">  </t>
    </r>
    <r>
      <rPr>
        <b/>
        <sz val="12"/>
        <color rgb="FFED7D31"/>
        <rFont val="Times New Roman"/>
        <family val="1"/>
      </rPr>
      <t xml:space="preserve">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</si>
</sst>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 #,##0.00_-;\-* #,##0.00_-;_-* \-??_-;_-@_-"/>
    <numFmt numFmtId="165" formatCode="_-* #,##0.00\ _€_-;\-* #,##0.00\ _€_-;_-* \-??\ _€_-;_-@_-"/>
    <numFmt numFmtId="166" formatCode="#,##0.00_ ;\-#,##0.00\ "/>
    <numFmt numFmtId="167" formatCode="0.0"/>
  </numFmts>
  <fonts count="50" x14ac:knownFonts="1">
    <font>
      <sz val="11"/>
      <color rgb="FF000000"/>
      <name val="Calibri"/>
      <family val="2"/>
      <charset val="1"/>
    </font>
    <font>
      <sz val="10"/>
      <name val="Arial"/>
      <family val="2"/>
      <charset val="1"/>
    </font>
    <font>
      <sz val="12"/>
      <color rgb="FF000000"/>
      <name val="Times New Roman"/>
      <family val="1"/>
      <charset val="1"/>
    </font>
    <font>
      <b/>
      <sz val="12"/>
      <name val="Times New Roman"/>
      <family val="1"/>
      <charset val="1"/>
    </font>
    <font>
      <sz val="12"/>
      <name val="Times New Roman"/>
      <family val="1"/>
      <charset val="1"/>
    </font>
    <font>
      <b/>
      <i/>
      <sz val="12"/>
      <color rgb="FF000000"/>
      <name val="Times New Roman"/>
      <family val="1"/>
      <charset val="1"/>
    </font>
    <font>
      <b/>
      <sz val="12"/>
      <color rgb="FF000000"/>
      <name val="Times New Roman"/>
      <family val="1"/>
      <charset val="1"/>
    </font>
    <font>
      <sz val="11"/>
      <color rgb="FF000000"/>
      <name val="Times New Roman"/>
      <family val="1"/>
      <charset val="1"/>
    </font>
    <font>
      <b/>
      <sz val="12"/>
      <color rgb="FFED7D31"/>
      <name val="Times New Roman"/>
      <family val="1"/>
      <charset val="1"/>
    </font>
    <font>
      <sz val="12"/>
      <color rgb="FFED7D31"/>
      <name val="Times New Roman"/>
      <family val="1"/>
      <charset val="1"/>
    </font>
    <font>
      <b/>
      <sz val="10"/>
      <name val="Times New Roman"/>
      <family val="1"/>
      <charset val="1"/>
    </font>
    <font>
      <b/>
      <sz val="14"/>
      <color rgb="FF000000"/>
      <name val="Times New Roman"/>
      <family val="1"/>
      <charset val="1"/>
    </font>
    <font>
      <strike/>
      <sz val="12"/>
      <color rgb="FF000000"/>
      <name val="Times New Roman"/>
      <family val="1"/>
      <charset val="1"/>
    </font>
    <font>
      <u/>
      <sz val="11"/>
      <color rgb="FF0563C1"/>
      <name val="Calibri"/>
      <family val="2"/>
      <charset val="1"/>
    </font>
    <font>
      <b/>
      <sz val="12"/>
      <color rgb="FFFF0000"/>
      <name val="Times New Roman"/>
      <family val="1"/>
      <charset val="1"/>
    </font>
    <font>
      <b/>
      <sz val="13"/>
      <color rgb="FF000000"/>
      <name val="Times New Roman"/>
      <family val="1"/>
      <charset val="1"/>
    </font>
    <font>
      <sz val="12"/>
      <color rgb="FF000000"/>
      <name val="Calibri"/>
      <family val="2"/>
      <charset val="1"/>
    </font>
    <font>
      <b/>
      <sz val="12"/>
      <color rgb="FF000000"/>
      <name val="Calibri"/>
      <family val="2"/>
      <charset val="1"/>
    </font>
    <font>
      <b/>
      <sz val="12"/>
      <name val="Arial"/>
      <family val="2"/>
      <charset val="1"/>
    </font>
    <font>
      <b/>
      <i/>
      <sz val="12"/>
      <color rgb="FF000000"/>
      <name val="Calibri"/>
      <family val="2"/>
      <charset val="1"/>
    </font>
    <font>
      <b/>
      <vertAlign val="superscript"/>
      <sz val="12"/>
      <color rgb="FFFF0000"/>
      <name val="Times New Roman"/>
      <family val="1"/>
      <charset val="1"/>
    </font>
    <font>
      <b/>
      <strike/>
      <sz val="12"/>
      <color rgb="FF000000"/>
      <name val="Times New Roman"/>
      <family val="1"/>
      <charset val="1"/>
    </font>
    <font>
      <i/>
      <sz val="12"/>
      <name val="Times New Roman"/>
      <family val="1"/>
      <charset val="1"/>
    </font>
    <font>
      <b/>
      <sz val="16"/>
      <color rgb="FF000000"/>
      <name val="Times New Roman"/>
      <family val="1"/>
      <charset val="1"/>
    </font>
    <font>
      <vertAlign val="superscript"/>
      <sz val="12"/>
      <color rgb="FFFF0000"/>
      <name val="Times New Roman"/>
      <family val="1"/>
      <charset val="1"/>
    </font>
    <font>
      <b/>
      <vertAlign val="superscript"/>
      <sz val="12"/>
      <color rgb="FFED7D31"/>
      <name val="Times New Roman"/>
      <family val="1"/>
      <charset val="1"/>
    </font>
    <font>
      <i/>
      <sz val="12"/>
      <color rgb="FF000000"/>
      <name val="Times New Roman"/>
      <family val="1"/>
      <charset val="1"/>
    </font>
    <font>
      <b/>
      <sz val="12"/>
      <color rgb="FFED7D31"/>
      <name val="Calibri"/>
      <family val="2"/>
      <charset val="1"/>
    </font>
    <font>
      <sz val="10"/>
      <name val="Times New Roman"/>
      <family val="1"/>
      <charset val="1"/>
    </font>
    <font>
      <b/>
      <sz val="10"/>
      <color rgb="FFED7D31"/>
      <name val="Times New Roman"/>
      <family val="1"/>
      <charset val="1"/>
    </font>
    <font>
      <sz val="18"/>
      <name val="Times New Roman"/>
      <family val="1"/>
      <charset val="1"/>
    </font>
    <font>
      <sz val="11"/>
      <color rgb="FF000000"/>
      <name val="Calibri"/>
      <family val="2"/>
      <charset val="1"/>
    </font>
    <font>
      <b/>
      <sz val="10"/>
      <name val="Times New Roman"/>
      <family val="1"/>
    </font>
    <font>
      <b/>
      <sz val="12"/>
      <color rgb="FF000000"/>
      <name val="Times New Roman"/>
      <family val="1"/>
    </font>
    <font>
      <sz val="12"/>
      <name val="Times New Roman"/>
      <family val="1"/>
    </font>
    <font>
      <sz val="10"/>
      <name val="Arial"/>
      <family val="2"/>
    </font>
    <font>
      <sz val="12"/>
      <color indexed="8"/>
      <name val="Times New Roman"/>
      <family val="1"/>
    </font>
    <font>
      <b/>
      <sz val="10"/>
      <name val="Arial"/>
      <family val="2"/>
    </font>
    <font>
      <b/>
      <sz val="12"/>
      <color indexed="8"/>
      <name val="Calibri"/>
      <family val="2"/>
    </font>
    <font>
      <sz val="12"/>
      <name val="Calibri"/>
      <family val="2"/>
    </font>
    <font>
      <sz val="9"/>
      <name val="Arial"/>
      <family val="2"/>
    </font>
    <font>
      <b/>
      <sz val="12"/>
      <name val="Calibri"/>
      <family val="2"/>
    </font>
    <font>
      <sz val="11"/>
      <name val="Calibri"/>
      <family val="2"/>
      <charset val="1"/>
    </font>
    <font>
      <sz val="12"/>
      <name val="Calibri"/>
      <family val="2"/>
      <charset val="1"/>
    </font>
    <font>
      <b/>
      <sz val="12"/>
      <name val="Calibri"/>
      <family val="2"/>
      <charset val="1"/>
    </font>
    <font>
      <b/>
      <sz val="12"/>
      <color rgb="FFED7D31"/>
      <name val="Times New Roman"/>
      <family val="1"/>
    </font>
    <font>
      <b/>
      <sz val="12"/>
      <name val="Times New Roman"/>
      <family val="1"/>
    </font>
    <font>
      <b/>
      <sz val="14"/>
      <color rgb="FF000000"/>
      <name val="Times New Roman"/>
      <family val="1"/>
    </font>
    <font>
      <b/>
      <sz val="12"/>
      <color rgb="FFFF0000"/>
      <name val="Times New Roman"/>
      <family val="1"/>
    </font>
    <font>
      <b/>
      <sz val="12"/>
      <name val="Arial"/>
      <family val="2"/>
    </font>
  </fonts>
  <fills count="14">
    <fill>
      <patternFill patternType="none"/>
    </fill>
    <fill>
      <patternFill patternType="gray125"/>
    </fill>
    <fill>
      <patternFill patternType="solid">
        <fgColor rgb="FFFFFFFF"/>
        <bgColor rgb="FFFFFFCC"/>
      </patternFill>
    </fill>
    <fill>
      <patternFill patternType="solid">
        <fgColor rgb="FFFFC000"/>
        <bgColor rgb="FFFF9900"/>
      </patternFill>
    </fill>
    <fill>
      <patternFill patternType="solid">
        <fgColor rgb="FF92D050"/>
        <bgColor rgb="FF70AD47"/>
      </patternFill>
    </fill>
    <fill>
      <patternFill patternType="solid">
        <fgColor rgb="FF003366"/>
        <bgColor rgb="FF333399"/>
      </patternFill>
    </fill>
    <fill>
      <patternFill patternType="solid">
        <fgColor rgb="FFD0CECE"/>
        <bgColor rgb="FFCCCCFF"/>
      </patternFill>
    </fill>
    <fill>
      <patternFill patternType="solid">
        <fgColor rgb="FF70AD47"/>
        <bgColor rgb="FF92D050"/>
      </patternFill>
    </fill>
    <fill>
      <patternFill patternType="solid">
        <fgColor rgb="FF7F7F7F"/>
        <bgColor rgb="FF808080"/>
      </patternFill>
    </fill>
    <fill>
      <patternFill patternType="solid">
        <fgColor rgb="FF808080"/>
        <bgColor rgb="FF7F7F7F"/>
      </patternFill>
    </fill>
    <fill>
      <patternFill patternType="solid">
        <fgColor theme="0"/>
        <bgColor indexed="64"/>
      </patternFill>
    </fill>
    <fill>
      <patternFill patternType="solid">
        <fgColor theme="7" tint="0.79998168889431442"/>
        <bgColor indexed="64"/>
      </patternFill>
    </fill>
    <fill>
      <patternFill patternType="solid">
        <fgColor theme="4" tint="0.79998168889431442"/>
        <bgColor indexed="64"/>
      </patternFill>
    </fill>
    <fill>
      <patternFill patternType="solid">
        <fgColor theme="8" tint="0.79998168889431442"/>
        <bgColor indexed="64"/>
      </patternFill>
    </fill>
  </fills>
  <borders count="31">
    <border>
      <left/>
      <right/>
      <top/>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style="medium">
        <color auto="1"/>
      </right>
      <top/>
      <bottom style="medium">
        <color auto="1"/>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medium">
        <color auto="1"/>
      </left>
      <right style="medium">
        <color auto="1"/>
      </right>
      <top style="medium">
        <color auto="1"/>
      </top>
      <bottom style="medium">
        <color auto="1"/>
      </bottom>
      <diagonal/>
    </border>
    <border>
      <left style="thin">
        <color auto="1"/>
      </left>
      <right/>
      <top style="thin">
        <color auto="1"/>
      </top>
      <bottom/>
      <diagonal/>
    </border>
    <border>
      <left/>
      <right style="thin">
        <color auto="1"/>
      </right>
      <top/>
      <bottom style="thin">
        <color auto="1"/>
      </bottom>
      <diagonal/>
    </border>
    <border>
      <left/>
      <right/>
      <top style="thin">
        <color auto="1"/>
      </top>
      <bottom/>
      <diagonal/>
    </border>
    <border>
      <left/>
      <right style="thin">
        <color auto="1"/>
      </right>
      <top style="thin">
        <color auto="1"/>
      </top>
      <bottom/>
      <diagonal/>
    </border>
    <border>
      <left style="thin">
        <color auto="1"/>
      </left>
      <right style="thin">
        <color auto="1"/>
      </right>
      <top/>
      <bottom/>
      <diagonal/>
    </border>
    <border>
      <left/>
      <right style="thin">
        <color auto="1"/>
      </right>
      <top/>
      <bottom/>
      <diagonal/>
    </border>
    <border>
      <left style="thin">
        <color auto="1"/>
      </left>
      <right/>
      <top/>
      <bottom/>
      <diagonal/>
    </border>
    <border>
      <left style="medium">
        <color auto="1"/>
      </left>
      <right/>
      <top style="medium">
        <color auto="1"/>
      </top>
      <bottom style="medium">
        <color auto="1"/>
      </bottom>
      <diagonal/>
    </border>
    <border>
      <left style="thin">
        <color auto="1"/>
      </left>
      <right style="medium">
        <color auto="1"/>
      </right>
      <top style="medium">
        <color auto="1"/>
      </top>
      <bottom style="medium">
        <color auto="1"/>
      </bottom>
      <diagonal/>
    </border>
    <border>
      <left/>
      <right/>
      <top style="medium">
        <color auto="1"/>
      </top>
      <bottom style="medium">
        <color auto="1"/>
      </bottom>
      <diagonal/>
    </border>
    <border>
      <left style="thin">
        <color indexed="8"/>
      </left>
      <right/>
      <top style="thin">
        <color indexed="8"/>
      </top>
      <bottom style="thin">
        <color indexed="8"/>
      </bottom>
      <diagonal/>
    </border>
    <border>
      <left style="thin">
        <color indexed="64"/>
      </left>
      <right style="thin">
        <color indexed="64"/>
      </right>
      <top style="thin">
        <color indexed="64"/>
      </top>
      <bottom style="thin">
        <color indexed="64"/>
      </bottom>
      <diagonal/>
    </border>
    <border>
      <left/>
      <right style="thin">
        <color indexed="8"/>
      </right>
      <top style="thin">
        <color indexed="8"/>
      </top>
      <bottom style="thin">
        <color indexed="8"/>
      </bottom>
      <diagonal/>
    </border>
  </borders>
  <cellStyleXfs count="10">
    <xf numFmtId="0" fontId="0" fillId="0" borderId="0"/>
    <xf numFmtId="0" fontId="13" fillId="0" borderId="0" applyBorder="0" applyProtection="0"/>
    <xf numFmtId="164" fontId="1" fillId="0" borderId="0" applyBorder="0" applyProtection="0"/>
    <xf numFmtId="164" fontId="31" fillId="0" borderId="0" applyBorder="0" applyProtection="0"/>
    <xf numFmtId="164" fontId="1" fillId="0" borderId="0" applyBorder="0" applyProtection="0"/>
    <xf numFmtId="0" fontId="1" fillId="0" borderId="0"/>
    <xf numFmtId="0" fontId="1" fillId="0" borderId="0"/>
    <xf numFmtId="9" fontId="31" fillId="0" borderId="0" applyBorder="0" applyProtection="0"/>
    <xf numFmtId="0" fontId="31" fillId="0" borderId="0"/>
    <xf numFmtId="0" fontId="35" fillId="0" borderId="0"/>
  </cellStyleXfs>
  <cellXfs count="326">
    <xf numFmtId="0" fontId="0" fillId="0" borderId="0" xfId="0"/>
    <xf numFmtId="0" fontId="2" fillId="0" borderId="0" xfId="8" applyFont="1"/>
    <xf numFmtId="0" fontId="2" fillId="0" borderId="0" xfId="8" applyFont="1" applyAlignment="1">
      <alignment horizontal="center"/>
    </xf>
    <xf numFmtId="0" fontId="4" fillId="0" borderId="2" xfId="5" applyFont="1" applyBorder="1" applyAlignment="1">
      <alignment wrapText="1"/>
    </xf>
    <xf numFmtId="0" fontId="2" fillId="0" borderId="2" xfId="8" applyFont="1" applyBorder="1" applyAlignment="1">
      <alignment horizontal="center"/>
    </xf>
    <xf numFmtId="0" fontId="2" fillId="0" borderId="3" xfId="8" applyFont="1" applyBorder="1"/>
    <xf numFmtId="0" fontId="6" fillId="0" borderId="0" xfId="8" applyFont="1" applyAlignment="1">
      <alignment horizontal="right"/>
    </xf>
    <xf numFmtId="0" fontId="4" fillId="0" borderId="0" xfId="5" applyFont="1" applyAlignment="1">
      <alignment wrapText="1"/>
    </xf>
    <xf numFmtId="0" fontId="2" fillId="0" borderId="6" xfId="8" applyFont="1" applyBorder="1"/>
    <xf numFmtId="165" fontId="2" fillId="0" borderId="0" xfId="8" applyNumberFormat="1" applyFont="1"/>
    <xf numFmtId="0" fontId="3" fillId="0" borderId="9" xfId="5" applyFont="1" applyBorder="1" applyAlignment="1">
      <alignment horizontal="left" vertical="center" wrapText="1"/>
    </xf>
    <xf numFmtId="0" fontId="2" fillId="0" borderId="9" xfId="8" applyFont="1" applyBorder="1" applyAlignment="1">
      <alignment horizontal="center"/>
    </xf>
    <xf numFmtId="0" fontId="2" fillId="0" borderId="10" xfId="8" applyFont="1" applyBorder="1"/>
    <xf numFmtId="0" fontId="2" fillId="2" borderId="0" xfId="8" applyFont="1" applyFill="1" applyAlignment="1">
      <alignment horizontal="left"/>
    </xf>
    <xf numFmtId="0" fontId="2" fillId="2" borderId="0" xfId="8" applyFont="1" applyFill="1" applyAlignment="1">
      <alignment horizontal="center"/>
    </xf>
    <xf numFmtId="0" fontId="2" fillId="2" borderId="0" xfId="8" applyFont="1" applyFill="1"/>
    <xf numFmtId="0" fontId="2" fillId="0" borderId="12" xfId="8" applyFont="1" applyBorder="1" applyAlignment="1">
      <alignment horizontal="center" vertical="center" wrapText="1"/>
    </xf>
    <xf numFmtId="0" fontId="2" fillId="0" borderId="13" xfId="8" applyFont="1" applyBorder="1" applyAlignment="1">
      <alignment horizontal="center" vertical="center" wrapText="1"/>
    </xf>
    <xf numFmtId="0" fontId="2" fillId="0" borderId="12" xfId="8" applyFont="1" applyBorder="1"/>
    <xf numFmtId="0" fontId="7" fillId="0" borderId="12" xfId="8" applyFont="1" applyBorder="1" applyAlignment="1">
      <alignment horizontal="center" vertical="center" wrapText="1"/>
    </xf>
    <xf numFmtId="164" fontId="6" fillId="3" borderId="12" xfId="8" applyNumberFormat="1" applyFont="1" applyFill="1" applyBorder="1" applyAlignment="1">
      <alignment horizontal="center" vertical="center" wrapText="1"/>
    </xf>
    <xf numFmtId="4" fontId="6" fillId="4" borderId="12" xfId="8" applyNumberFormat="1" applyFont="1" applyFill="1" applyBorder="1" applyAlignment="1">
      <alignment horizontal="center" wrapText="1"/>
    </xf>
    <xf numFmtId="0" fontId="2" fillId="0" borderId="14" xfId="8" applyFont="1" applyBorder="1" applyAlignment="1">
      <alignment horizontal="center" vertical="center" wrapText="1"/>
    </xf>
    <xf numFmtId="164" fontId="2" fillId="0" borderId="15" xfId="8" applyNumberFormat="1" applyFont="1" applyBorder="1" applyAlignment="1">
      <alignment horizontal="center" vertical="center" wrapText="1"/>
    </xf>
    <xf numFmtId="4" fontId="4" fillId="0" borderId="12" xfId="0" applyNumberFormat="1" applyFont="1" applyBorder="1" applyAlignment="1">
      <alignment horizontal="center" vertical="center"/>
    </xf>
    <xf numFmtId="164" fontId="6" fillId="0" borderId="12" xfId="8" applyNumberFormat="1" applyFont="1" applyBorder="1" applyAlignment="1">
      <alignment horizontal="right" vertical="center"/>
    </xf>
    <xf numFmtId="0" fontId="6" fillId="0" borderId="16" xfId="8" applyFont="1" applyBorder="1" applyAlignment="1">
      <alignment horizontal="center" vertical="center" wrapText="1"/>
    </xf>
    <xf numFmtId="4" fontId="2" fillId="0" borderId="12" xfId="8" applyNumberFormat="1" applyFont="1" applyBorder="1" applyAlignment="1">
      <alignment horizontal="right" vertical="center"/>
    </xf>
    <xf numFmtId="0" fontId="6" fillId="0" borderId="12" xfId="8" applyFont="1" applyBorder="1" applyAlignment="1">
      <alignment horizontal="center" vertical="center"/>
    </xf>
    <xf numFmtId="0" fontId="6" fillId="5" borderId="12" xfId="8" applyFont="1" applyFill="1" applyBorder="1" applyAlignment="1">
      <alignment horizontal="center" vertical="center" textRotation="90" wrapText="1"/>
    </xf>
    <xf numFmtId="0" fontId="2" fillId="5" borderId="12" xfId="8" applyFont="1" applyFill="1" applyBorder="1" applyAlignment="1">
      <alignment horizontal="center" vertical="center" textRotation="90"/>
    </xf>
    <xf numFmtId="0" fontId="2" fillId="5" borderId="12" xfId="8" applyFont="1" applyFill="1" applyBorder="1" applyAlignment="1">
      <alignment horizontal="right" vertical="center" wrapText="1"/>
    </xf>
    <xf numFmtId="0" fontId="2" fillId="5" borderId="16" xfId="8" applyFont="1" applyFill="1" applyBorder="1" applyAlignment="1">
      <alignment horizontal="right" vertical="center" wrapText="1"/>
    </xf>
    <xf numFmtId="4" fontId="6" fillId="4" borderId="12" xfId="8" applyNumberFormat="1" applyFont="1" applyFill="1" applyBorder="1" applyAlignment="1">
      <alignment horizontal="center" vertical="center" wrapText="1"/>
    </xf>
    <xf numFmtId="0" fontId="2" fillId="0" borderId="12" xfId="8" applyFont="1" applyBorder="1" applyAlignment="1">
      <alignment vertical="center" wrapText="1"/>
    </xf>
    <xf numFmtId="166" fontId="4" fillId="0" borderId="12" xfId="2" applyNumberFormat="1" applyFont="1" applyBorder="1" applyAlignment="1" applyProtection="1">
      <alignment horizontal="right" vertical="center"/>
    </xf>
    <xf numFmtId="164" fontId="2" fillId="0" borderId="12" xfId="8" applyNumberFormat="1" applyFont="1" applyBorder="1" applyAlignment="1">
      <alignment horizontal="right"/>
    </xf>
    <xf numFmtId="164" fontId="2" fillId="0" borderId="12" xfId="8" applyNumberFormat="1" applyFont="1" applyBorder="1" applyAlignment="1">
      <alignment horizontal="right" vertical="center" wrapText="1"/>
    </xf>
    <xf numFmtId="164" fontId="2" fillId="0" borderId="12" xfId="2" applyFont="1" applyBorder="1" applyAlignment="1" applyProtection="1">
      <alignment horizontal="right" vertical="center" wrapText="1"/>
    </xf>
    <xf numFmtId="164" fontId="6" fillId="0" borderId="12" xfId="8" applyNumberFormat="1" applyFont="1" applyBorder="1" applyAlignment="1">
      <alignment horizontal="right"/>
    </xf>
    <xf numFmtId="0" fontId="6" fillId="0" borderId="12" xfId="8" applyFont="1" applyBorder="1" applyAlignment="1">
      <alignment horizontal="center"/>
    </xf>
    <xf numFmtId="4" fontId="2" fillId="0" borderId="12" xfId="8" applyNumberFormat="1" applyFont="1" applyBorder="1" applyAlignment="1">
      <alignment horizontal="right"/>
    </xf>
    <xf numFmtId="0" fontId="2" fillId="0" borderId="0" xfId="8" applyFont="1" applyAlignment="1">
      <alignment horizontal="right"/>
    </xf>
    <xf numFmtId="0" fontId="2" fillId="0" borderId="12" xfId="8" applyFont="1" applyBorder="1" applyAlignment="1">
      <alignment horizontal="center"/>
    </xf>
    <xf numFmtId="0" fontId="2" fillId="0" borderId="12" xfId="8" applyFont="1" applyBorder="1" applyAlignment="1">
      <alignment horizontal="center" vertical="center" textRotation="90"/>
    </xf>
    <xf numFmtId="164" fontId="2" fillId="0" borderId="12" xfId="2" applyFont="1" applyBorder="1" applyAlignment="1" applyProtection="1">
      <alignment horizontal="right"/>
    </xf>
    <xf numFmtId="164" fontId="10" fillId="0" borderId="12" xfId="2" applyFont="1" applyBorder="1" applyAlignment="1" applyProtection="1">
      <alignment horizontal="center" vertical="center"/>
    </xf>
    <xf numFmtId="1" fontId="2" fillId="0" borderId="12" xfId="8" applyNumberFormat="1" applyFont="1" applyBorder="1" applyAlignment="1">
      <alignment horizontal="right"/>
    </xf>
    <xf numFmtId="4" fontId="4" fillId="0" borderId="12" xfId="5" applyNumberFormat="1" applyFont="1" applyBorder="1" applyAlignment="1">
      <alignment horizontal="right"/>
    </xf>
    <xf numFmtId="1" fontId="6" fillId="0" borderId="12" xfId="8" applyNumberFormat="1" applyFont="1" applyBorder="1" applyAlignment="1">
      <alignment horizontal="center"/>
    </xf>
    <xf numFmtId="0" fontId="2" fillId="6" borderId="12" xfId="8" applyFont="1" applyFill="1" applyBorder="1" applyAlignment="1">
      <alignment horizontal="center"/>
    </xf>
    <xf numFmtId="164" fontId="2" fillId="6" borderId="12" xfId="2" applyFont="1" applyFill="1" applyBorder="1" applyAlignment="1" applyProtection="1">
      <alignment horizontal="right"/>
    </xf>
    <xf numFmtId="164" fontId="2" fillId="6" borderId="12" xfId="8" applyNumberFormat="1" applyFont="1" applyFill="1" applyBorder="1" applyAlignment="1">
      <alignment horizontal="right"/>
    </xf>
    <xf numFmtId="1" fontId="6" fillId="6" borderId="12" xfId="2" applyNumberFormat="1" applyFont="1" applyFill="1" applyBorder="1" applyAlignment="1" applyProtection="1">
      <alignment horizontal="center"/>
    </xf>
    <xf numFmtId="4" fontId="2" fillId="6" borderId="12" xfId="2" applyNumberFormat="1" applyFont="1" applyFill="1" applyBorder="1" applyAlignment="1" applyProtection="1">
      <alignment horizontal="right"/>
    </xf>
    <xf numFmtId="0" fontId="6" fillId="0" borderId="0" xfId="8" applyFont="1"/>
    <xf numFmtId="0" fontId="6" fillId="6" borderId="12" xfId="8" applyFont="1" applyFill="1" applyBorder="1" applyAlignment="1">
      <alignment horizontal="center" vertical="center" textRotation="90"/>
    </xf>
    <xf numFmtId="0" fontId="2" fillId="6" borderId="12" xfId="8" applyFont="1" applyFill="1" applyBorder="1" applyAlignment="1">
      <alignment horizontal="right"/>
    </xf>
    <xf numFmtId="1" fontId="6" fillId="6" borderId="12" xfId="8" applyNumberFormat="1" applyFont="1" applyFill="1" applyBorder="1" applyAlignment="1">
      <alignment horizontal="center"/>
    </xf>
    <xf numFmtId="4" fontId="2" fillId="6" borderId="12" xfId="8" applyNumberFormat="1" applyFont="1" applyFill="1" applyBorder="1" applyAlignment="1">
      <alignment horizontal="right"/>
    </xf>
    <xf numFmtId="4" fontId="11" fillId="3" borderId="12" xfId="8" applyNumberFormat="1" applyFont="1" applyFill="1" applyBorder="1" applyAlignment="1">
      <alignment horizontal="center" wrapText="1"/>
    </xf>
    <xf numFmtId="1" fontId="6" fillId="0" borderId="16" xfId="8" applyNumberFormat="1" applyFont="1" applyBorder="1" applyAlignment="1">
      <alignment horizontal="center"/>
    </xf>
    <xf numFmtId="4" fontId="6" fillId="0" borderId="16" xfId="8" applyNumberFormat="1" applyFont="1" applyBorder="1" applyAlignment="1">
      <alignment horizontal="right"/>
    </xf>
    <xf numFmtId="0" fontId="6" fillId="0" borderId="0" xfId="8" applyFont="1" applyAlignment="1">
      <alignment vertical="center"/>
    </xf>
    <xf numFmtId="0" fontId="2" fillId="0" borderId="0" xfId="8" applyFont="1" applyAlignment="1">
      <alignment vertical="center" wrapText="1"/>
    </xf>
    <xf numFmtId="0" fontId="4" fillId="2" borderId="2" xfId="5" applyFont="1" applyFill="1" applyBorder="1" applyAlignment="1">
      <alignment wrapText="1"/>
    </xf>
    <xf numFmtId="0" fontId="2" fillId="2" borderId="2" xfId="8" applyFont="1" applyFill="1" applyBorder="1" applyAlignment="1">
      <alignment horizontal="center"/>
    </xf>
    <xf numFmtId="0" fontId="2" fillId="2" borderId="3" xfId="8" applyFont="1" applyFill="1" applyBorder="1"/>
    <xf numFmtId="0" fontId="4" fillId="2" borderId="0" xfId="5" applyFont="1" applyFill="1" applyAlignment="1">
      <alignment wrapText="1"/>
    </xf>
    <xf numFmtId="0" fontId="2" fillId="2" borderId="6" xfId="8" applyFont="1" applyFill="1" applyBorder="1"/>
    <xf numFmtId="0" fontId="2" fillId="2" borderId="10" xfId="8" applyFont="1" applyFill="1" applyBorder="1"/>
    <xf numFmtId="0" fontId="6" fillId="3" borderId="12" xfId="8" applyFont="1" applyFill="1" applyBorder="1" applyAlignment="1">
      <alignment horizontal="center" vertical="center" wrapText="1"/>
    </xf>
    <xf numFmtId="0" fontId="6" fillId="0" borderId="12" xfId="8" applyFont="1" applyBorder="1" applyAlignment="1">
      <alignment horizontal="center" vertical="center" wrapText="1"/>
    </xf>
    <xf numFmtId="0" fontId="6" fillId="7" borderId="12" xfId="8" applyFont="1" applyFill="1" applyBorder="1" applyAlignment="1">
      <alignment horizontal="center" vertical="center" wrapText="1"/>
    </xf>
    <xf numFmtId="164" fontId="6" fillId="0" borderId="12" xfId="8" applyNumberFormat="1" applyFont="1" applyBorder="1" applyAlignment="1">
      <alignment vertical="center"/>
    </xf>
    <xf numFmtId="3" fontId="6" fillId="0" borderId="12" xfId="8" applyNumberFormat="1" applyFont="1" applyBorder="1" applyAlignment="1">
      <alignment horizontal="center" vertical="center"/>
    </xf>
    <xf numFmtId="3" fontId="6" fillId="0" borderId="12" xfId="8" applyNumberFormat="1" applyFont="1" applyBorder="1" applyAlignment="1">
      <alignment horizontal="center"/>
    </xf>
    <xf numFmtId="4" fontId="6" fillId="0" borderId="12" xfId="8" applyNumberFormat="1" applyFont="1" applyBorder="1" applyAlignment="1">
      <alignment vertical="center"/>
    </xf>
    <xf numFmtId="4" fontId="6" fillId="0" borderId="12" xfId="8" applyNumberFormat="1" applyFont="1" applyBorder="1"/>
    <xf numFmtId="164" fontId="2" fillId="0" borderId="0" xfId="8" applyNumberFormat="1" applyFont="1"/>
    <xf numFmtId="3" fontId="2" fillId="6" borderId="12" xfId="2" applyNumberFormat="1" applyFont="1" applyFill="1" applyBorder="1" applyProtection="1"/>
    <xf numFmtId="4" fontId="2" fillId="6" borderId="12" xfId="2" applyNumberFormat="1" applyFont="1" applyFill="1" applyBorder="1" applyProtection="1"/>
    <xf numFmtId="3" fontId="2" fillId="6" borderId="12" xfId="8" applyNumberFormat="1" applyFont="1" applyFill="1" applyBorder="1"/>
    <xf numFmtId="4" fontId="2" fillId="6" borderId="12" xfId="8" applyNumberFormat="1" applyFont="1" applyFill="1" applyBorder="1"/>
    <xf numFmtId="0" fontId="11" fillId="3" borderId="12" xfId="8" applyFont="1" applyFill="1" applyBorder="1"/>
    <xf numFmtId="3" fontId="6" fillId="0" borderId="0" xfId="8" applyNumberFormat="1" applyFont="1"/>
    <xf numFmtId="4" fontId="6" fillId="0" borderId="0" xfId="8" applyNumberFormat="1" applyFont="1"/>
    <xf numFmtId="0" fontId="15" fillId="0" borderId="0" xfId="8" applyFont="1" applyAlignment="1">
      <alignment vertical="center"/>
    </xf>
    <xf numFmtId="0" fontId="2" fillId="2" borderId="0" xfId="8" applyFont="1" applyFill="1" applyAlignment="1">
      <alignment vertical="center" wrapText="1"/>
    </xf>
    <xf numFmtId="0" fontId="4" fillId="0" borderId="0" xfId="8" applyFont="1"/>
    <xf numFmtId="0" fontId="6" fillId="0" borderId="0" xfId="8" applyFont="1" applyAlignment="1">
      <alignment horizontal="center"/>
    </xf>
    <xf numFmtId="164" fontId="6" fillId="0" borderId="0" xfId="8" applyNumberFormat="1" applyFont="1"/>
    <xf numFmtId="4" fontId="2" fillId="0" borderId="12" xfId="8" applyNumberFormat="1" applyFont="1" applyBorder="1"/>
    <xf numFmtId="0" fontId="2" fillId="5" borderId="12" xfId="8" applyFont="1" applyFill="1" applyBorder="1" applyAlignment="1">
      <alignment horizontal="center" vertical="center" wrapText="1"/>
    </xf>
    <xf numFmtId="0" fontId="2" fillId="5" borderId="12" xfId="8" applyFont="1" applyFill="1" applyBorder="1"/>
    <xf numFmtId="4" fontId="4" fillId="0" borderId="12" xfId="2" applyNumberFormat="1" applyFont="1" applyBorder="1" applyAlignment="1" applyProtection="1">
      <alignment horizontal="right" vertical="center"/>
    </xf>
    <xf numFmtId="4" fontId="2" fillId="0" borderId="12" xfId="2" applyNumberFormat="1" applyFont="1" applyBorder="1" applyAlignment="1" applyProtection="1">
      <alignment horizontal="right"/>
    </xf>
    <xf numFmtId="164" fontId="2" fillId="6" borderId="12" xfId="2" applyFont="1" applyFill="1" applyBorder="1" applyProtection="1"/>
    <xf numFmtId="164" fontId="2" fillId="6" borderId="12" xfId="8" applyNumberFormat="1" applyFont="1" applyFill="1" applyBorder="1" applyAlignment="1">
      <alignment horizontal="center"/>
    </xf>
    <xf numFmtId="164" fontId="2" fillId="6" borderId="12" xfId="8" applyNumberFormat="1" applyFont="1" applyFill="1" applyBorder="1"/>
    <xf numFmtId="164" fontId="2" fillId="0" borderId="0" xfId="2" applyFont="1" applyBorder="1" applyProtection="1"/>
    <xf numFmtId="164" fontId="2" fillId="0" borderId="0" xfId="8" applyNumberFormat="1" applyFont="1" applyAlignment="1">
      <alignment horizontal="center"/>
    </xf>
    <xf numFmtId="164" fontId="5" fillId="0" borderId="0" xfId="8" applyNumberFormat="1" applyFont="1" applyAlignment="1">
      <alignment horizontal="right"/>
    </xf>
    <xf numFmtId="0" fontId="6" fillId="0" borderId="16" xfId="8" applyFont="1" applyBorder="1"/>
    <xf numFmtId="0" fontId="2" fillId="0" borderId="16" xfId="8" applyFont="1" applyBorder="1"/>
    <xf numFmtId="3" fontId="2" fillId="0" borderId="12" xfId="8" applyNumberFormat="1" applyFont="1" applyBorder="1" applyAlignment="1">
      <alignment horizontal="center"/>
    </xf>
    <xf numFmtId="3" fontId="2" fillId="0" borderId="12" xfId="8" applyNumberFormat="1" applyFont="1" applyBorder="1"/>
    <xf numFmtId="0" fontId="6" fillId="0" borderId="12" xfId="8" applyFont="1" applyBorder="1"/>
    <xf numFmtId="0" fontId="6" fillId="3" borderId="12" xfId="8" applyFont="1" applyFill="1" applyBorder="1"/>
    <xf numFmtId="0" fontId="14" fillId="0" borderId="0" xfId="8" applyFont="1"/>
    <xf numFmtId="0" fontId="4" fillId="0" borderId="0" xfId="5" applyFont="1"/>
    <xf numFmtId="164" fontId="6" fillId="0" borderId="13" xfId="8" applyNumberFormat="1" applyFont="1" applyBorder="1" applyAlignment="1">
      <alignment vertical="center"/>
    </xf>
    <xf numFmtId="0" fontId="16" fillId="0" borderId="0" xfId="8" applyFont="1" applyAlignment="1">
      <alignment vertical="center"/>
    </xf>
    <xf numFmtId="0" fontId="17" fillId="0" borderId="0" xfId="8" applyFont="1" applyAlignment="1">
      <alignment vertical="center"/>
    </xf>
    <xf numFmtId="0" fontId="18" fillId="0" borderId="0" xfId="5" applyFont="1" applyAlignment="1">
      <alignment horizontal="left" vertical="center"/>
    </xf>
    <xf numFmtId="0" fontId="18" fillId="0" borderId="0" xfId="5" applyFont="1" applyAlignment="1">
      <alignment horizontal="left" vertical="center" wrapText="1"/>
    </xf>
    <xf numFmtId="0" fontId="16" fillId="0" borderId="0" xfId="8" applyFont="1" applyAlignment="1">
      <alignment horizontal="center" vertical="center"/>
    </xf>
    <xf numFmtId="165" fontId="16" fillId="0" borderId="0" xfId="8" applyNumberFormat="1" applyFont="1" applyAlignment="1">
      <alignment vertical="center"/>
    </xf>
    <xf numFmtId="0" fontId="6" fillId="2" borderId="18" xfId="8" applyFont="1" applyFill="1" applyBorder="1" applyAlignment="1">
      <alignment vertical="center" wrapText="1"/>
    </xf>
    <xf numFmtId="0" fontId="6" fillId="2" borderId="20" xfId="8" applyFont="1" applyFill="1" applyBorder="1" applyAlignment="1">
      <alignment vertical="center" wrapText="1"/>
    </xf>
    <xf numFmtId="0" fontId="6" fillId="2" borderId="21" xfId="8" applyFont="1" applyFill="1" applyBorder="1" applyAlignment="1">
      <alignment vertical="center" wrapText="1"/>
    </xf>
    <xf numFmtId="0" fontId="6" fillId="0" borderId="15" xfId="8" applyFont="1" applyBorder="1" applyAlignment="1">
      <alignment horizontal="center" vertical="center" wrapText="1"/>
    </xf>
    <xf numFmtId="0" fontId="16" fillId="0" borderId="12" xfId="8" applyFont="1" applyBorder="1" applyAlignment="1">
      <alignment vertical="center"/>
    </xf>
    <xf numFmtId="0" fontId="6" fillId="7" borderId="15" xfId="8" applyFont="1" applyFill="1" applyBorder="1" applyAlignment="1">
      <alignment horizontal="center" vertical="center" wrapText="1"/>
    </xf>
    <xf numFmtId="165" fontId="6" fillId="8" borderId="16" xfId="8" applyNumberFormat="1" applyFont="1" applyFill="1" applyBorder="1" applyAlignment="1">
      <alignment vertical="center"/>
    </xf>
    <xf numFmtId="0" fontId="6" fillId="8" borderId="16" xfId="8" applyFont="1" applyFill="1" applyBorder="1" applyAlignment="1">
      <alignment horizontal="center" vertical="center"/>
    </xf>
    <xf numFmtId="0" fontId="6" fillId="8" borderId="12" xfId="8" applyFont="1" applyFill="1" applyBorder="1" applyAlignment="1">
      <alignment vertical="center"/>
    </xf>
    <xf numFmtId="0" fontId="6" fillId="0" borderId="16" xfId="8" applyFont="1" applyBorder="1" applyAlignment="1">
      <alignment horizontal="center" vertical="center"/>
    </xf>
    <xf numFmtId="0" fontId="6" fillId="2" borderId="16" xfId="8" applyFont="1" applyFill="1" applyBorder="1" applyAlignment="1">
      <alignment horizontal="center" vertical="center"/>
    </xf>
    <xf numFmtId="165" fontId="6" fillId="2" borderId="16" xfId="8" applyNumberFormat="1" applyFont="1" applyFill="1" applyBorder="1" applyAlignment="1">
      <alignment vertical="center"/>
    </xf>
    <xf numFmtId="0" fontId="6" fillId="5" borderId="16" xfId="8" applyFont="1" applyFill="1" applyBorder="1" applyAlignment="1">
      <alignment horizontal="center" vertical="center" textRotation="90" wrapText="1"/>
    </xf>
    <xf numFmtId="0" fontId="6" fillId="3" borderId="16" xfId="8" applyFont="1" applyFill="1" applyBorder="1" applyAlignment="1">
      <alignment horizontal="center" vertical="center" wrapText="1"/>
    </xf>
    <xf numFmtId="0" fontId="2" fillId="0" borderId="15" xfId="8" applyFont="1" applyBorder="1" applyAlignment="1">
      <alignment vertical="center" wrapText="1"/>
    </xf>
    <xf numFmtId="165" fontId="6" fillId="0" borderId="12" xfId="8" applyNumberFormat="1" applyFont="1" applyBorder="1" applyAlignment="1">
      <alignment vertical="center"/>
    </xf>
    <xf numFmtId="0" fontId="2" fillId="5" borderId="22" xfId="8" applyFont="1" applyFill="1" applyBorder="1" applyAlignment="1">
      <alignment horizontal="center" vertical="center" textRotation="90"/>
    </xf>
    <xf numFmtId="0" fontId="2" fillId="5" borderId="24" xfId="8" applyFont="1" applyFill="1" applyBorder="1" applyAlignment="1">
      <alignment horizontal="center" vertical="center" wrapText="1"/>
    </xf>
    <xf numFmtId="0" fontId="6" fillId="5" borderId="11" xfId="8" applyFont="1" applyFill="1" applyBorder="1" applyAlignment="1">
      <alignment horizontal="center" vertical="center" wrapText="1"/>
    </xf>
    <xf numFmtId="0" fontId="6" fillId="0" borderId="11" xfId="8" applyFont="1" applyBorder="1" applyAlignment="1">
      <alignment horizontal="center" vertical="center" wrapText="1"/>
    </xf>
    <xf numFmtId="0" fontId="19" fillId="0" borderId="0" xfId="8" applyFont="1" applyAlignment="1">
      <alignment vertical="center"/>
    </xf>
    <xf numFmtId="0" fontId="3" fillId="0" borderId="19" xfId="8" applyFont="1" applyBorder="1" applyAlignment="1">
      <alignment horizontal="center" vertical="center" wrapText="1"/>
    </xf>
    <xf numFmtId="0" fontId="6" fillId="7" borderId="19" xfId="8" applyFont="1" applyFill="1" applyBorder="1" applyAlignment="1">
      <alignment horizontal="center" vertical="center" wrapText="1"/>
    </xf>
    <xf numFmtId="0" fontId="6" fillId="2" borderId="12" xfId="8" applyFont="1" applyFill="1" applyBorder="1" applyAlignment="1">
      <alignment horizontal="center" vertical="center"/>
    </xf>
    <xf numFmtId="165" fontId="6" fillId="2" borderId="12" xfId="8" applyNumberFormat="1" applyFont="1" applyFill="1" applyBorder="1" applyAlignment="1">
      <alignment vertical="center"/>
    </xf>
    <xf numFmtId="0" fontId="6" fillId="2" borderId="15" xfId="8" applyFont="1" applyFill="1" applyBorder="1" applyAlignment="1">
      <alignment horizontal="center" vertical="center"/>
    </xf>
    <xf numFmtId="164" fontId="6" fillId="0" borderId="11" xfId="8" applyNumberFormat="1" applyFont="1" applyBorder="1" applyAlignment="1">
      <alignment horizontal="center" vertical="center"/>
    </xf>
    <xf numFmtId="0" fontId="6" fillId="2" borderId="0" xfId="8" applyFont="1" applyFill="1" applyAlignment="1">
      <alignment horizontal="center" vertical="center"/>
    </xf>
    <xf numFmtId="165" fontId="6" fillId="2" borderId="11" xfId="8" applyNumberFormat="1" applyFont="1" applyFill="1" applyBorder="1" applyAlignment="1">
      <alignment vertical="center"/>
    </xf>
    <xf numFmtId="0" fontId="6" fillId="2" borderId="11" xfId="8" applyFont="1" applyFill="1" applyBorder="1" applyAlignment="1">
      <alignment horizontal="center" vertical="center"/>
    </xf>
    <xf numFmtId="0" fontId="6" fillId="2" borderId="21" xfId="8" applyFont="1" applyFill="1" applyBorder="1" applyAlignment="1">
      <alignment horizontal="center" vertical="center"/>
    </xf>
    <xf numFmtId="0" fontId="21" fillId="2" borderId="12" xfId="8" applyFont="1" applyFill="1" applyBorder="1" applyAlignment="1">
      <alignment horizontal="center" vertical="center"/>
    </xf>
    <xf numFmtId="0" fontId="2" fillId="6" borderId="15" xfId="8" applyFont="1" applyFill="1" applyBorder="1" applyAlignment="1">
      <alignment horizontal="center"/>
    </xf>
    <xf numFmtId="164" fontId="2" fillId="9" borderId="12" xfId="2" applyFont="1" applyFill="1" applyBorder="1" applyAlignment="1" applyProtection="1">
      <alignment vertical="center"/>
    </xf>
    <xf numFmtId="164" fontId="12" fillId="8" borderId="12" xfId="2" applyFont="1" applyFill="1" applyBorder="1" applyAlignment="1" applyProtection="1">
      <alignment vertical="center"/>
    </xf>
    <xf numFmtId="164" fontId="6" fillId="0" borderId="23" xfId="8" applyNumberFormat="1" applyFont="1" applyBorder="1" applyAlignment="1">
      <alignment vertical="center"/>
    </xf>
    <xf numFmtId="0" fontId="6" fillId="2" borderId="19" xfId="8" applyFont="1" applyFill="1" applyBorder="1" applyAlignment="1">
      <alignment horizontal="center" vertical="center"/>
    </xf>
    <xf numFmtId="0" fontId="6" fillId="0" borderId="0" xfId="8" applyFont="1" applyAlignment="1">
      <alignment horizontal="center" vertical="center" wrapText="1"/>
    </xf>
    <xf numFmtId="164" fontId="6" fillId="0" borderId="11" xfId="8" applyNumberFormat="1" applyFont="1" applyBorder="1" applyAlignment="1">
      <alignment vertical="center"/>
    </xf>
    <xf numFmtId="0" fontId="6" fillId="0" borderId="22" xfId="8" applyFont="1" applyBorder="1" applyAlignment="1">
      <alignment horizontal="center" vertical="center" wrapText="1"/>
    </xf>
    <xf numFmtId="0" fontId="6" fillId="2" borderId="18" xfId="8" applyFont="1" applyFill="1" applyBorder="1" applyAlignment="1">
      <alignment horizontal="center" vertical="center"/>
    </xf>
    <xf numFmtId="0" fontId="14" fillId="2" borderId="24" xfId="8" applyFont="1" applyFill="1" applyBorder="1" applyAlignment="1">
      <alignment horizontal="center" vertical="center"/>
    </xf>
    <xf numFmtId="165" fontId="14" fillId="2" borderId="22" xfId="8" applyNumberFormat="1" applyFont="1" applyFill="1" applyBorder="1" applyAlignment="1">
      <alignment vertical="center"/>
    </xf>
    <xf numFmtId="0" fontId="6" fillId="2" borderId="22" xfId="8" applyFont="1" applyFill="1" applyBorder="1" applyAlignment="1">
      <alignment horizontal="center" vertical="center"/>
    </xf>
    <xf numFmtId="0" fontId="6" fillId="2" borderId="23" xfId="8" applyFont="1" applyFill="1" applyBorder="1" applyAlignment="1">
      <alignment horizontal="center" vertical="center"/>
    </xf>
    <xf numFmtId="164" fontId="2" fillId="9" borderId="19" xfId="2" applyFont="1" applyFill="1" applyBorder="1" applyAlignment="1" applyProtection="1">
      <alignment vertical="center"/>
    </xf>
    <xf numFmtId="164" fontId="12" fillId="8" borderId="0" xfId="2" applyFont="1" applyFill="1" applyBorder="1" applyAlignment="1" applyProtection="1">
      <alignment vertical="center"/>
    </xf>
    <xf numFmtId="0" fontId="2" fillId="0" borderId="0" xfId="8" applyFont="1" applyAlignment="1">
      <alignment horizontal="center" vertical="center"/>
    </xf>
    <xf numFmtId="0" fontId="6" fillId="3" borderId="16" xfId="8" applyFont="1" applyFill="1" applyBorder="1" applyAlignment="1">
      <alignment horizontal="center" vertical="center"/>
    </xf>
    <xf numFmtId="0" fontId="3" fillId="0" borderId="16" xfId="8" applyFont="1" applyBorder="1" applyAlignment="1">
      <alignment horizontal="center" vertical="center"/>
    </xf>
    <xf numFmtId="0" fontId="3" fillId="0" borderId="12" xfId="8" applyFont="1" applyBorder="1" applyAlignment="1">
      <alignment horizontal="center" vertical="center"/>
    </xf>
    <xf numFmtId="165" fontId="3" fillId="0" borderId="12" xfId="8" applyNumberFormat="1" applyFont="1" applyBorder="1" applyAlignment="1">
      <alignment horizontal="center" vertical="center"/>
    </xf>
    <xf numFmtId="0" fontId="6" fillId="0" borderId="15" xfId="8" applyFont="1" applyBorder="1" applyAlignment="1">
      <alignment horizontal="center" wrapText="1"/>
    </xf>
    <xf numFmtId="0" fontId="3" fillId="0" borderId="0" xfId="5" applyFont="1" applyAlignment="1">
      <alignment wrapText="1"/>
    </xf>
    <xf numFmtId="4" fontId="6" fillId="0" borderId="15" xfId="8" applyNumberFormat="1" applyFont="1" applyBorder="1" applyAlignment="1">
      <alignment wrapText="1"/>
    </xf>
    <xf numFmtId="4" fontId="6" fillId="0" borderId="0" xfId="8" applyNumberFormat="1" applyFont="1" applyAlignment="1">
      <alignment wrapText="1"/>
    </xf>
    <xf numFmtId="4" fontId="2" fillId="0" borderId="0" xfId="8" applyNumberFormat="1" applyFont="1" applyAlignment="1">
      <alignment wrapText="1"/>
    </xf>
    <xf numFmtId="0" fontId="2" fillId="0" borderId="0" xfId="8" applyFont="1" applyAlignment="1">
      <alignment horizontal="left"/>
    </xf>
    <xf numFmtId="4" fontId="6" fillId="0" borderId="12" xfId="8" applyNumberFormat="1" applyFont="1" applyBorder="1" applyAlignment="1">
      <alignment vertical="center" wrapText="1"/>
    </xf>
    <xf numFmtId="1" fontId="2" fillId="0" borderId="12" xfId="8" applyNumberFormat="1" applyFont="1" applyBorder="1" applyAlignment="1">
      <alignment vertical="center" wrapText="1"/>
    </xf>
    <xf numFmtId="1" fontId="6" fillId="0" borderId="12" xfId="8" applyNumberFormat="1" applyFont="1" applyBorder="1" applyAlignment="1">
      <alignment horizontal="center" vertical="center" wrapText="1"/>
    </xf>
    <xf numFmtId="1" fontId="2" fillId="5" borderId="12" xfId="8" applyNumberFormat="1" applyFont="1" applyFill="1" applyBorder="1" applyAlignment="1">
      <alignment horizontal="center" vertical="center" wrapText="1"/>
    </xf>
    <xf numFmtId="1" fontId="2" fillId="0" borderId="12" xfId="8" applyNumberFormat="1" applyFont="1" applyBorder="1" applyAlignment="1">
      <alignment horizontal="center" vertical="center" wrapText="1"/>
    </xf>
    <xf numFmtId="4" fontId="4" fillId="0" borderId="12" xfId="2" applyNumberFormat="1" applyFont="1" applyBorder="1" applyAlignment="1" applyProtection="1">
      <alignment horizontal="center" vertical="center"/>
    </xf>
    <xf numFmtId="4" fontId="2" fillId="0" borderId="12" xfId="8" applyNumberFormat="1" applyFont="1" applyBorder="1" applyAlignment="1">
      <alignment horizontal="center"/>
    </xf>
    <xf numFmtId="4" fontId="4" fillId="0" borderId="12" xfId="5" applyNumberFormat="1" applyFont="1" applyBorder="1" applyAlignment="1">
      <alignment horizontal="center"/>
    </xf>
    <xf numFmtId="4" fontId="2" fillId="0" borderId="12" xfId="2" applyNumberFormat="1" applyFont="1" applyBorder="1" applyProtection="1"/>
    <xf numFmtId="4" fontId="2" fillId="6" borderId="12" xfId="8" applyNumberFormat="1" applyFont="1" applyFill="1" applyBorder="1" applyAlignment="1">
      <alignment horizontal="center"/>
    </xf>
    <xf numFmtId="1" fontId="2" fillId="6" borderId="12" xfId="2" applyNumberFormat="1" applyFont="1" applyFill="1" applyBorder="1" applyProtection="1"/>
    <xf numFmtId="1" fontId="2" fillId="6" borderId="12" xfId="8" applyNumberFormat="1" applyFont="1" applyFill="1" applyBorder="1"/>
    <xf numFmtId="0" fontId="11" fillId="3" borderId="14" xfId="8" applyFont="1" applyFill="1" applyBorder="1"/>
    <xf numFmtId="3" fontId="6" fillId="0" borderId="16" xfId="8" applyNumberFormat="1" applyFont="1" applyBorder="1" applyAlignment="1">
      <alignment horizontal="center"/>
    </xf>
    <xf numFmtId="4" fontId="6" fillId="0" borderId="16" xfId="8" applyNumberFormat="1" applyFont="1" applyBorder="1" applyAlignment="1">
      <alignment horizontal="center"/>
    </xf>
    <xf numFmtId="0" fontId="22" fillId="0" borderId="0" xfId="5" applyFont="1"/>
    <xf numFmtId="0" fontId="3" fillId="0" borderId="12" xfId="5" applyFont="1" applyBorder="1" applyAlignment="1">
      <alignment horizontal="center" wrapText="1"/>
    </xf>
    <xf numFmtId="4" fontId="3" fillId="0" borderId="12" xfId="5" applyNumberFormat="1" applyFont="1" applyBorder="1" applyAlignment="1">
      <alignment horizontal="center" wrapText="1"/>
    </xf>
    <xf numFmtId="0" fontId="2" fillId="0" borderId="0" xfId="8" applyFont="1" applyAlignment="1">
      <alignment wrapText="1"/>
    </xf>
    <xf numFmtId="0" fontId="4" fillId="2" borderId="2" xfId="5" applyFont="1" applyFill="1" applyBorder="1" applyAlignment="1">
      <alignment vertical="center" wrapText="1"/>
    </xf>
    <xf numFmtId="0" fontId="6" fillId="0" borderId="12" xfId="8" applyFont="1" applyBorder="1" applyAlignment="1">
      <alignment horizontal="center" wrapText="1"/>
    </xf>
    <xf numFmtId="4" fontId="6" fillId="0" borderId="12" xfId="8" applyNumberFormat="1" applyFont="1" applyBorder="1" applyAlignment="1">
      <alignment wrapText="1"/>
    </xf>
    <xf numFmtId="1" fontId="6" fillId="0" borderId="14" xfId="8" applyNumberFormat="1" applyFont="1" applyBorder="1" applyAlignment="1">
      <alignment horizontal="center"/>
    </xf>
    <xf numFmtId="0" fontId="6" fillId="0" borderId="12" xfId="8" applyFont="1" applyBorder="1" applyAlignment="1">
      <alignment wrapText="1"/>
    </xf>
    <xf numFmtId="0" fontId="6" fillId="7" borderId="16" xfId="8" applyFont="1" applyFill="1" applyBorder="1" applyAlignment="1">
      <alignment horizontal="center" vertical="center" wrapText="1"/>
    </xf>
    <xf numFmtId="165" fontId="2" fillId="0" borderId="12" xfId="8" applyNumberFormat="1" applyFont="1" applyBorder="1"/>
    <xf numFmtId="0" fontId="2" fillId="0" borderId="16" xfId="8" applyFont="1" applyBorder="1" applyAlignment="1">
      <alignment horizontal="center" vertical="center" wrapText="1"/>
    </xf>
    <xf numFmtId="164" fontId="2" fillId="0" borderId="12" xfId="8" applyNumberFormat="1" applyFont="1" applyBorder="1" applyAlignment="1">
      <alignment horizontal="center"/>
    </xf>
    <xf numFmtId="164" fontId="2" fillId="0" borderId="12" xfId="8" applyNumberFormat="1" applyFont="1" applyBorder="1"/>
    <xf numFmtId="164" fontId="2" fillId="0" borderId="12" xfId="2" applyFont="1" applyBorder="1" applyProtection="1"/>
    <xf numFmtId="4" fontId="6" fillId="0" borderId="16" xfId="8" applyNumberFormat="1" applyFont="1" applyBorder="1"/>
    <xf numFmtId="0" fontId="27" fillId="0" borderId="0" xfId="8" applyFont="1"/>
    <xf numFmtId="0" fontId="28" fillId="0" borderId="0" xfId="5" applyFont="1"/>
    <xf numFmtId="0" fontId="10" fillId="0" borderId="2" xfId="5" applyFont="1" applyBorder="1" applyAlignment="1">
      <alignment horizontal="left" vertical="center" wrapText="1"/>
    </xf>
    <xf numFmtId="0" fontId="10" fillId="0" borderId="0" xfId="5" applyFont="1" applyAlignment="1">
      <alignment horizontal="left" vertical="center" wrapText="1"/>
    </xf>
    <xf numFmtId="0" fontId="30" fillId="0" borderId="17" xfId="5" applyFont="1" applyBorder="1" applyAlignment="1">
      <alignment horizontal="center"/>
    </xf>
    <xf numFmtId="4" fontId="28" fillId="0" borderId="0" xfId="5" applyNumberFormat="1" applyFont="1"/>
    <xf numFmtId="167" fontId="28" fillId="0" borderId="0" xfId="5" applyNumberFormat="1" applyFont="1"/>
    <xf numFmtId="165" fontId="28" fillId="0" borderId="0" xfId="5" applyNumberFormat="1" applyFont="1"/>
    <xf numFmtId="0" fontId="30" fillId="0" borderId="27" xfId="5" applyFont="1" applyBorder="1" applyAlignment="1">
      <alignment horizontal="center"/>
    </xf>
    <xf numFmtId="0" fontId="10" fillId="0" borderId="0" xfId="5" applyFont="1" applyAlignment="1">
      <alignment horizontal="center" wrapText="1"/>
    </xf>
    <xf numFmtId="0" fontId="30" fillId="0" borderId="0" xfId="5" applyFont="1" applyAlignment="1">
      <alignment horizontal="center"/>
    </xf>
    <xf numFmtId="0" fontId="28" fillId="0" borderId="0" xfId="5" applyFont="1" applyAlignment="1">
      <alignment horizontal="center" wrapText="1"/>
    </xf>
    <xf numFmtId="164" fontId="28" fillId="0" borderId="0" xfId="2" applyFont="1" applyBorder="1" applyAlignment="1" applyProtection="1">
      <alignment horizontal="center"/>
    </xf>
    <xf numFmtId="0" fontId="29" fillId="0" borderId="5" xfId="5" applyFont="1" applyBorder="1"/>
    <xf numFmtId="0" fontId="28" fillId="0" borderId="6" xfId="5" applyFont="1" applyBorder="1"/>
    <xf numFmtId="0" fontId="6" fillId="0" borderId="0" xfId="8" applyFont="1" applyAlignment="1">
      <alignment horizontal="right" vertical="top" wrapText="1"/>
    </xf>
    <xf numFmtId="0" fontId="32" fillId="0" borderId="0" xfId="5" applyFont="1"/>
    <xf numFmtId="0" fontId="33" fillId="0" borderId="0" xfId="8" applyFont="1"/>
    <xf numFmtId="0" fontId="33" fillId="0" borderId="0" xfId="8" applyFont="1" applyAlignment="1">
      <alignment horizontal="right"/>
    </xf>
    <xf numFmtId="0" fontId="11" fillId="3" borderId="12" xfId="8" applyFont="1" applyFill="1" applyBorder="1" applyAlignment="1">
      <alignment horizontal="center"/>
    </xf>
    <xf numFmtId="4" fontId="34" fillId="0" borderId="12" xfId="0" applyNumberFormat="1" applyFont="1" applyBorder="1" applyAlignment="1">
      <alignment horizontal="center" vertical="center"/>
    </xf>
    <xf numFmtId="164" fontId="36" fillId="0" borderId="28" xfId="2" applyFont="1" applyBorder="1" applyAlignment="1" applyProtection="1">
      <alignment horizontal="center" vertical="center" wrapText="1"/>
    </xf>
    <xf numFmtId="4" fontId="34" fillId="0" borderId="29" xfId="0" applyNumberFormat="1" applyFont="1" applyBorder="1" applyAlignment="1">
      <alignment horizontal="center" vertical="center"/>
    </xf>
    <xf numFmtId="0" fontId="6" fillId="0" borderId="14" xfId="8" applyFont="1" applyBorder="1" applyAlignment="1">
      <alignment horizontal="center"/>
    </xf>
    <xf numFmtId="0" fontId="11" fillId="3" borderId="16" xfId="8" applyFont="1" applyFill="1" applyBorder="1" applyAlignment="1">
      <alignment horizontal="center"/>
    </xf>
    <xf numFmtId="0" fontId="11" fillId="3" borderId="14" xfId="8" applyFont="1" applyFill="1" applyBorder="1" applyAlignment="1">
      <alignment horizontal="center"/>
    </xf>
    <xf numFmtId="0" fontId="37" fillId="0" borderId="0" xfId="0" applyFont="1" applyAlignment="1">
      <alignment horizontal="right"/>
    </xf>
    <xf numFmtId="0" fontId="0" fillId="0" borderId="30" xfId="0" applyBorder="1"/>
    <xf numFmtId="0" fontId="43" fillId="0" borderId="29" xfId="0" applyFont="1" applyBorder="1"/>
    <xf numFmtId="0" fontId="43" fillId="0" borderId="0" xfId="0" applyFont="1"/>
    <xf numFmtId="0" fontId="44" fillId="0" borderId="0" xfId="0" applyFont="1" applyAlignment="1">
      <alignment horizontal="center"/>
    </xf>
    <xf numFmtId="0" fontId="44" fillId="0" borderId="29" xfId="0" applyFont="1" applyBorder="1" applyAlignment="1">
      <alignment horizontal="center"/>
    </xf>
    <xf numFmtId="0" fontId="41" fillId="0" borderId="0" xfId="0" applyFont="1"/>
    <xf numFmtId="0" fontId="39" fillId="0" borderId="29" xfId="0" applyFont="1" applyBorder="1"/>
    <xf numFmtId="0" fontId="43" fillId="0" borderId="0" xfId="0" applyFont="1" applyAlignment="1">
      <alignment horizontal="center"/>
    </xf>
    <xf numFmtId="0" fontId="41" fillId="0" borderId="29" xfId="0" applyFont="1" applyBorder="1" applyAlignment="1">
      <alignment horizontal="center"/>
    </xf>
    <xf numFmtId="0" fontId="38" fillId="0" borderId="30" xfId="0" applyFont="1" applyBorder="1" applyAlignment="1">
      <alignment horizontal="center" vertical="center" wrapText="1"/>
    </xf>
    <xf numFmtId="0" fontId="40" fillId="0" borderId="30" xfId="0" applyFont="1" applyBorder="1"/>
    <xf numFmtId="0" fontId="41" fillId="0" borderId="29" xfId="0" applyFont="1" applyBorder="1" applyAlignment="1">
      <alignment horizontal="center" vertical="center" wrapText="1"/>
    </xf>
    <xf numFmtId="0" fontId="37" fillId="0" borderId="29" xfId="0" applyFont="1" applyBorder="1" applyAlignment="1">
      <alignment horizontal="center" vertical="center"/>
    </xf>
    <xf numFmtId="0" fontId="42" fillId="0" borderId="29" xfId="0" applyFont="1" applyBorder="1"/>
    <xf numFmtId="0" fontId="39" fillId="0" borderId="29" xfId="0" applyFont="1" applyBorder="1" applyAlignment="1">
      <alignment horizontal="center" vertical="center" wrapText="1"/>
    </xf>
    <xf numFmtId="0" fontId="43" fillId="0" borderId="29" xfId="0" applyFont="1" applyBorder="1" applyAlignment="1">
      <alignment horizontal="center"/>
    </xf>
    <xf numFmtId="0" fontId="43" fillId="10" borderId="29" xfId="9" applyFont="1" applyFill="1" applyBorder="1"/>
    <xf numFmtId="1" fontId="4" fillId="0" borderId="0" xfId="5" applyNumberFormat="1" applyFont="1"/>
    <xf numFmtId="1" fontId="2" fillId="0" borderId="0" xfId="8" applyNumberFormat="1" applyFont="1"/>
    <xf numFmtId="0" fontId="6" fillId="0" borderId="29" xfId="8" applyFont="1" applyBorder="1" applyAlignment="1">
      <alignment horizontal="center" vertical="center" wrapText="1"/>
    </xf>
    <xf numFmtId="0" fontId="6" fillId="0" borderId="29" xfId="8" applyFont="1" applyBorder="1" applyAlignment="1">
      <alignment horizontal="center" vertical="center"/>
    </xf>
    <xf numFmtId="0" fontId="6" fillId="5" borderId="29" xfId="8" applyFont="1" applyFill="1" applyBorder="1" applyAlignment="1">
      <alignment horizontal="center" vertical="center" textRotation="90" wrapText="1"/>
    </xf>
    <xf numFmtId="1" fontId="2" fillId="0" borderId="29" xfId="8" applyNumberFormat="1" applyFont="1" applyBorder="1" applyAlignment="1">
      <alignment vertical="center" wrapText="1"/>
    </xf>
    <xf numFmtId="1" fontId="2" fillId="5" borderId="29" xfId="8" applyNumberFormat="1" applyFont="1" applyFill="1" applyBorder="1" applyAlignment="1">
      <alignment horizontal="center" vertical="center" wrapText="1"/>
    </xf>
    <xf numFmtId="1" fontId="6" fillId="0" borderId="29" xfId="8" applyNumberFormat="1" applyFont="1" applyBorder="1" applyAlignment="1">
      <alignment horizontal="center" vertical="center" wrapText="1"/>
    </xf>
    <xf numFmtId="1" fontId="2" fillId="0" borderId="29" xfId="8" applyNumberFormat="1" applyFont="1" applyBorder="1" applyAlignment="1">
      <alignment horizontal="center" vertical="center" wrapText="1"/>
    </xf>
    <xf numFmtId="1" fontId="2" fillId="6" borderId="29" xfId="2" applyNumberFormat="1" applyFont="1" applyFill="1" applyBorder="1" applyProtection="1"/>
    <xf numFmtId="1" fontId="2" fillId="6" borderId="29" xfId="8" applyNumberFormat="1" applyFont="1" applyFill="1" applyBorder="1"/>
    <xf numFmtId="0" fontId="3" fillId="0" borderId="29" xfId="5" applyFont="1" applyBorder="1" applyAlignment="1">
      <alignment horizontal="center" wrapText="1"/>
    </xf>
    <xf numFmtId="0" fontId="6" fillId="0" borderId="0" xfId="8" applyFont="1" applyAlignment="1">
      <alignment horizontal="center" wrapText="1"/>
    </xf>
    <xf numFmtId="1" fontId="2" fillId="0" borderId="29" xfId="8" applyNumberFormat="1" applyFont="1" applyBorder="1" applyAlignment="1">
      <alignment horizontal="right"/>
    </xf>
    <xf numFmtId="1" fontId="6" fillId="11" borderId="12" xfId="8" applyNumberFormat="1" applyFont="1" applyFill="1" applyBorder="1" applyAlignment="1">
      <alignment horizontal="center" vertical="center" wrapText="1"/>
    </xf>
    <xf numFmtId="0" fontId="6" fillId="11" borderId="12" xfId="8" applyFont="1" applyFill="1" applyBorder="1" applyAlignment="1">
      <alignment horizontal="center" vertical="center" wrapText="1"/>
    </xf>
    <xf numFmtId="1" fontId="33" fillId="11" borderId="12" xfId="8" applyNumberFormat="1" applyFont="1" applyFill="1" applyBorder="1" applyAlignment="1">
      <alignment horizontal="center" vertical="center" wrapText="1"/>
    </xf>
    <xf numFmtId="1" fontId="33" fillId="12" borderId="12" xfId="8" applyNumberFormat="1" applyFont="1" applyFill="1" applyBorder="1" applyAlignment="1">
      <alignment horizontal="center" vertical="center" wrapText="1"/>
    </xf>
    <xf numFmtId="0" fontId="6" fillId="0" borderId="0" xfId="8" applyFont="1" applyAlignment="1">
      <alignment wrapText="1"/>
    </xf>
    <xf numFmtId="1" fontId="33" fillId="13" borderId="12" xfId="8" applyNumberFormat="1" applyFont="1" applyFill="1" applyBorder="1" applyAlignment="1">
      <alignment horizontal="center" vertical="center" wrapText="1"/>
    </xf>
    <xf numFmtId="1" fontId="6" fillId="12" borderId="12" xfId="8" applyNumberFormat="1" applyFont="1" applyFill="1" applyBorder="1" applyAlignment="1">
      <alignment horizontal="center" vertical="center" wrapText="1"/>
    </xf>
    <xf numFmtId="0" fontId="47" fillId="0" borderId="0" xfId="8" applyFont="1"/>
    <xf numFmtId="0" fontId="6" fillId="0" borderId="11" xfId="8" applyFont="1" applyBorder="1" applyAlignment="1">
      <alignment horizontal="center"/>
    </xf>
    <xf numFmtId="0" fontId="3" fillId="0" borderId="1" xfId="5" applyFont="1" applyBorder="1" applyAlignment="1">
      <alignment horizontal="left" vertical="center" wrapText="1"/>
    </xf>
    <xf numFmtId="0" fontId="5" fillId="0" borderId="4" xfId="8" applyFont="1" applyBorder="1" applyAlignment="1">
      <alignment horizontal="center"/>
    </xf>
    <xf numFmtId="0" fontId="6" fillId="0" borderId="0" xfId="8" applyFont="1" applyAlignment="1">
      <alignment horizontal="right"/>
    </xf>
    <xf numFmtId="0" fontId="3" fillId="0" borderId="5" xfId="5" applyFont="1" applyBorder="1" applyAlignment="1">
      <alignment horizontal="left" vertical="center" wrapText="1"/>
    </xf>
    <xf numFmtId="0" fontId="5" fillId="0" borderId="7" xfId="8" applyFont="1" applyBorder="1" applyAlignment="1">
      <alignment horizontal="center" wrapText="1"/>
    </xf>
    <xf numFmtId="0" fontId="3" fillId="0" borderId="8" xfId="5" applyFont="1" applyBorder="1" applyAlignment="1">
      <alignment horizontal="left" vertical="center" wrapText="1"/>
    </xf>
    <xf numFmtId="0" fontId="3" fillId="2" borderId="1" xfId="5" applyFont="1" applyFill="1" applyBorder="1" applyAlignment="1">
      <alignment horizontal="left" vertical="center" wrapText="1"/>
    </xf>
    <xf numFmtId="0" fontId="5" fillId="0" borderId="17" xfId="8" applyFont="1" applyBorder="1" applyAlignment="1">
      <alignment horizontal="center"/>
    </xf>
    <xf numFmtId="0" fontId="3" fillId="2" borderId="5" xfId="5" applyFont="1" applyFill="1" applyBorder="1" applyAlignment="1">
      <alignment horizontal="left" vertical="center" wrapText="1"/>
    </xf>
    <xf numFmtId="0" fontId="3" fillId="2" borderId="8" xfId="5" applyFont="1" applyFill="1" applyBorder="1" applyAlignment="1">
      <alignment horizontal="left" vertical="center" wrapText="1"/>
    </xf>
    <xf numFmtId="0" fontId="13" fillId="2" borderId="9" xfId="1" applyFill="1" applyBorder="1" applyAlignment="1" applyProtection="1">
      <alignment horizontal="left" vertical="center" wrapText="1"/>
    </xf>
    <xf numFmtId="0" fontId="8" fillId="0" borderId="12" xfId="8" applyFont="1" applyBorder="1" applyAlignment="1">
      <alignment horizontal="left" vertical="center" wrapText="1"/>
    </xf>
    <xf numFmtId="0" fontId="8" fillId="2" borderId="12" xfId="8" applyFont="1" applyFill="1" applyBorder="1" applyAlignment="1">
      <alignment horizontal="left" vertical="center" wrapText="1"/>
    </xf>
    <xf numFmtId="0" fontId="6" fillId="0" borderId="18" xfId="8" applyFont="1" applyBorder="1" applyAlignment="1">
      <alignment horizontal="center" vertical="center"/>
    </xf>
    <xf numFmtId="0" fontId="15" fillId="0" borderId="4" xfId="8" applyFont="1" applyBorder="1" applyAlignment="1">
      <alignment horizontal="center" vertical="center"/>
    </xf>
    <xf numFmtId="0" fontId="6" fillId="0" borderId="12" xfId="8" applyFont="1" applyBorder="1" applyAlignment="1">
      <alignment horizontal="center" vertical="center"/>
    </xf>
    <xf numFmtId="0" fontId="6" fillId="0" borderId="13" xfId="8" applyFont="1" applyBorder="1" applyAlignment="1">
      <alignment horizontal="center" vertical="center"/>
    </xf>
    <xf numFmtId="0" fontId="11" fillId="0" borderId="12" xfId="8" applyFont="1" applyBorder="1" applyAlignment="1">
      <alignment horizontal="center" vertical="center"/>
    </xf>
    <xf numFmtId="0" fontId="2" fillId="0" borderId="12" xfId="8" applyFont="1" applyBorder="1" applyAlignment="1">
      <alignment horizontal="center" vertical="center" wrapText="1"/>
    </xf>
    <xf numFmtId="0" fontId="6" fillId="3" borderId="19" xfId="8" applyFont="1" applyFill="1" applyBorder="1" applyAlignment="1">
      <alignment horizontal="center" vertical="center" wrapText="1"/>
    </xf>
    <xf numFmtId="0" fontId="6" fillId="2" borderId="22" xfId="8" applyFont="1" applyFill="1" applyBorder="1" applyAlignment="1">
      <alignment horizontal="center" vertical="center" wrapText="1"/>
    </xf>
    <xf numFmtId="0" fontId="2" fillId="2" borderId="16" xfId="8" applyFont="1" applyFill="1" applyBorder="1" applyAlignment="1">
      <alignment horizontal="center" vertical="center"/>
    </xf>
    <xf numFmtId="0" fontId="2" fillId="0" borderId="23" xfId="8" applyFont="1" applyBorder="1" applyAlignment="1">
      <alignment horizontal="center" vertical="center" wrapText="1"/>
    </xf>
    <xf numFmtId="0" fontId="6" fillId="3" borderId="16" xfId="8" applyFont="1" applyFill="1" applyBorder="1" applyAlignment="1">
      <alignment horizontal="center" vertical="center" wrapText="1"/>
    </xf>
    <xf numFmtId="0" fontId="6" fillId="0" borderId="11" xfId="8" applyFont="1" applyBorder="1" applyAlignment="1">
      <alignment horizontal="center" vertical="center" wrapText="1"/>
    </xf>
    <xf numFmtId="0" fontId="6" fillId="3" borderId="24" xfId="8" applyFont="1" applyFill="1" applyBorder="1" applyAlignment="1">
      <alignment horizontal="center" vertical="center" wrapText="1"/>
    </xf>
    <xf numFmtId="0" fontId="6" fillId="2" borderId="11" xfId="8" applyFont="1" applyFill="1" applyBorder="1" applyAlignment="1">
      <alignment horizontal="center" vertical="center" wrapText="1"/>
    </xf>
    <xf numFmtId="0" fontId="6" fillId="0" borderId="12" xfId="8" applyFont="1" applyBorder="1" applyAlignment="1">
      <alignment horizontal="center" vertical="center" wrapText="1"/>
    </xf>
    <xf numFmtId="0" fontId="6" fillId="0" borderId="16" xfId="8" applyFont="1" applyBorder="1" applyAlignment="1">
      <alignment horizontal="center" vertical="center" wrapText="1"/>
    </xf>
    <xf numFmtId="0" fontId="6" fillId="0" borderId="22" xfId="8" applyFont="1" applyBorder="1" applyAlignment="1">
      <alignment horizontal="center" vertical="center" wrapText="1"/>
    </xf>
    <xf numFmtId="0" fontId="6" fillId="0" borderId="29" xfId="8" applyFont="1" applyBorder="1" applyAlignment="1">
      <alignment horizontal="center" vertical="center"/>
    </xf>
    <xf numFmtId="0" fontId="23" fillId="0" borderId="12" xfId="8" applyFont="1" applyBorder="1" applyAlignment="1">
      <alignment horizontal="center" vertical="center"/>
    </xf>
    <xf numFmtId="0" fontId="23" fillId="0" borderId="29" xfId="8" applyFont="1" applyBorder="1" applyAlignment="1">
      <alignment horizontal="center" vertical="center"/>
    </xf>
    <xf numFmtId="0" fontId="8" fillId="0" borderId="12" xfId="5" applyFont="1" applyBorder="1" applyAlignment="1">
      <alignment horizontal="left" vertical="center"/>
    </xf>
    <xf numFmtId="0" fontId="8" fillId="0" borderId="29" xfId="5" applyFont="1" applyBorder="1" applyAlignment="1">
      <alignment horizontal="left" vertical="center"/>
    </xf>
    <xf numFmtId="0" fontId="8" fillId="0" borderId="12" xfId="5" applyFont="1" applyBorder="1" applyAlignment="1">
      <alignment horizontal="left" vertical="center" wrapText="1"/>
    </xf>
    <xf numFmtId="0" fontId="8" fillId="0" borderId="29" xfId="5" applyFont="1" applyBorder="1" applyAlignment="1">
      <alignment horizontal="left" vertical="center" wrapText="1"/>
    </xf>
    <xf numFmtId="0" fontId="5" fillId="0" borderId="25" xfId="8" applyFont="1" applyBorder="1" applyAlignment="1">
      <alignment horizontal="center"/>
    </xf>
    <xf numFmtId="0" fontId="6" fillId="0" borderId="17" xfId="8" applyFont="1" applyBorder="1" applyAlignment="1">
      <alignment horizontal="center" vertical="center"/>
    </xf>
    <xf numFmtId="0" fontId="10" fillId="0" borderId="17" xfId="5" applyFont="1" applyBorder="1" applyAlignment="1">
      <alignment horizontal="center" vertical="center"/>
    </xf>
    <xf numFmtId="0" fontId="28" fillId="0" borderId="17" xfId="5" applyFont="1" applyBorder="1" applyAlignment="1">
      <alignment horizontal="center" vertical="center" wrapText="1"/>
    </xf>
    <xf numFmtId="164" fontId="28" fillId="0" borderId="26" xfId="2" applyFont="1" applyBorder="1" applyAlignment="1" applyProtection="1">
      <alignment horizontal="center"/>
    </xf>
    <xf numFmtId="0" fontId="28" fillId="0" borderId="17" xfId="5" applyFont="1" applyBorder="1" applyAlignment="1">
      <alignment horizontal="center" wrapText="1"/>
    </xf>
    <xf numFmtId="164" fontId="28" fillId="0" borderId="17" xfId="2" applyFont="1" applyBorder="1" applyAlignment="1" applyProtection="1">
      <alignment horizontal="center"/>
    </xf>
    <xf numFmtId="0" fontId="10" fillId="0" borderId="17" xfId="5" applyFont="1" applyBorder="1" applyAlignment="1">
      <alignment horizontal="center"/>
    </xf>
    <xf numFmtId="0" fontId="29" fillId="0" borderId="7" xfId="5" applyFont="1" applyBorder="1" applyAlignment="1">
      <alignment horizontal="left" wrapText="1"/>
    </xf>
    <xf numFmtId="0" fontId="10" fillId="0" borderId="17" xfId="5" applyFont="1" applyBorder="1" applyAlignment="1">
      <alignment horizontal="center" wrapText="1"/>
    </xf>
    <xf numFmtId="164" fontId="28" fillId="0" borderId="0" xfId="2" applyFont="1" applyBorder="1" applyAlignment="1" applyProtection="1">
      <alignment horizontal="center" vertical="center"/>
    </xf>
    <xf numFmtId="0" fontId="6" fillId="5" borderId="12" xfId="8" applyFont="1" applyFill="1" applyBorder="1" applyAlignment="1">
      <alignment horizontal="center" vertical="center" wrapText="1"/>
    </xf>
    <xf numFmtId="0" fontId="6" fillId="5" borderId="16" xfId="8" applyFont="1" applyFill="1" applyBorder="1" applyAlignment="1">
      <alignment horizontal="center" vertical="center" wrapText="1"/>
    </xf>
    <xf numFmtId="0" fontId="10" fillId="0" borderId="29" xfId="5" applyFont="1" applyBorder="1" applyAlignment="1">
      <alignment horizontal="center" vertical="center" wrapText="1"/>
    </xf>
    <xf numFmtId="0" fontId="49" fillId="0" borderId="0" xfId="0" applyFont="1"/>
  </cellXfs>
  <cellStyles count="10">
    <cellStyle name="Collegamento ipertestuale" xfId="1" builtinId="8"/>
    <cellStyle name="Excel Built-in Normal" xfId="8" xr:uid="{00000000-0005-0000-0000-000001000000}"/>
    <cellStyle name="Migliaia 2" xfId="2" xr:uid="{00000000-0005-0000-0000-000002000000}"/>
    <cellStyle name="Migliaia 3" xfId="3" xr:uid="{00000000-0005-0000-0000-000003000000}"/>
    <cellStyle name="Migliaia 3 2" xfId="4" xr:uid="{00000000-0005-0000-0000-000004000000}"/>
    <cellStyle name="Normale" xfId="0" builtinId="0"/>
    <cellStyle name="Normale 2" xfId="5" xr:uid="{00000000-0005-0000-0000-000006000000}"/>
    <cellStyle name="Normale 3" xfId="6" xr:uid="{00000000-0005-0000-0000-000007000000}"/>
    <cellStyle name="Normale_Foglio1" xfId="9" xr:uid="{00000000-0005-0000-0000-000008000000}"/>
    <cellStyle name="Percentuale 2" xfId="7" xr:uid="{00000000-0005-0000-0000-000009000000}"/>
  </cellStyles>
  <dxfs count="0"/>
  <tableStyles count="0" defaultTableStyle="TableStyleMedium2" defaultPivotStyle="PivotStyleLight16"/>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D0CECE"/>
      <rgbColor rgb="FF808080"/>
      <rgbColor rgb="FF9999FF"/>
      <rgbColor rgb="FF993366"/>
      <rgbColor rgb="FFFFFFCC"/>
      <rgbColor rgb="FFCCFFFF"/>
      <rgbColor rgb="FF660066"/>
      <rgbColor rgb="FFFF8080"/>
      <rgbColor rgb="FF0563C1"/>
      <rgbColor rgb="FFCCCCFF"/>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FFCC99"/>
      <rgbColor rgb="FF3366FF"/>
      <rgbColor rgb="FF33CCCC"/>
      <rgbColor rgb="FF92D050"/>
      <rgbColor rgb="FFFFC000"/>
      <rgbColor rgb="FFFF9900"/>
      <rgbColor rgb="FFED7D31"/>
      <rgbColor rgb="FF44546A"/>
      <rgbColor rgb="FF7F7F7F"/>
      <rgbColor rgb="FF003366"/>
      <rgbColor rgb="FF70AD47"/>
      <rgbColor rgb="FF003300"/>
      <rgbColor rgb="FF333300"/>
      <rgbColor rgb="FF993300"/>
      <rgbColor rgb="FF993366"/>
      <rgbColor rgb="FF333399"/>
      <rgbColor rgb="FF333333"/>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theme/theme1.xml><?xml version="1.0" encoding="utf-8"?>
<a:theme xmlns:a="http://schemas.openxmlformats.org/drawingml/2006/main" name="Tema di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mailto:prot.dgmc@giustiziacert.it" TargetMode="External"/></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3.bin"/><Relationship Id="rId1" Type="http://schemas.openxmlformats.org/officeDocument/2006/relationships/hyperlink" Target="mailto:prot.dgmc@giustiziacert.it" TargetMode="External"/></Relationships>
</file>

<file path=xl/worksheets/_rels/sheet4.xml.rels><?xml version="1.0" encoding="UTF-8" standalone="yes"?>
<Relationships xmlns="http://schemas.openxmlformats.org/package/2006/relationships"><Relationship Id="rId2" Type="http://schemas.openxmlformats.org/officeDocument/2006/relationships/printerSettings" Target="../printerSettings/printerSettings4.bin"/><Relationship Id="rId1" Type="http://schemas.openxmlformats.org/officeDocument/2006/relationships/hyperlink" Target="mailto:prot.dgmc@giustiziacert.it" TargetMode="External"/></Relationships>
</file>

<file path=xl/worksheets/_rels/sheet5.xml.rels><?xml version="1.0" encoding="UTF-8" standalone="yes"?>
<Relationships xmlns="http://schemas.openxmlformats.org/package/2006/relationships"><Relationship Id="rId2" Type="http://schemas.openxmlformats.org/officeDocument/2006/relationships/printerSettings" Target="../printerSettings/printerSettings5.bin"/><Relationship Id="rId1" Type="http://schemas.openxmlformats.org/officeDocument/2006/relationships/hyperlink" Target="mailto:prot.dgmc@giustiziacert.it" TargetMode="External"/></Relationships>
</file>

<file path=xl/worksheets/_rels/sheet6.xml.rels><?xml version="1.0" encoding="UTF-8" standalone="yes"?>
<Relationships xmlns="http://schemas.openxmlformats.org/package/2006/relationships"><Relationship Id="rId2" Type="http://schemas.openxmlformats.org/officeDocument/2006/relationships/printerSettings" Target="../printerSettings/printerSettings6.bin"/><Relationship Id="rId1" Type="http://schemas.openxmlformats.org/officeDocument/2006/relationships/hyperlink" Target="mailto:prot.dgmc@giustiziacert.it" TargetMode="External"/></Relationships>
</file>

<file path=xl/worksheets/_rels/sheet7.xml.rels><?xml version="1.0" encoding="UTF-8" standalone="yes"?>
<Relationships xmlns="http://schemas.openxmlformats.org/package/2006/relationships"><Relationship Id="rId2" Type="http://schemas.openxmlformats.org/officeDocument/2006/relationships/printerSettings" Target="../printerSettings/printerSettings7.bin"/><Relationship Id="rId1" Type="http://schemas.openxmlformats.org/officeDocument/2006/relationships/hyperlink" Target="mailto:prot.dgmc@giustiziacert.it" TargetMode="External"/></Relationships>
</file>

<file path=xl/worksheets/_rels/sheet8.xml.rels><?xml version="1.0" encoding="UTF-8" standalone="yes"?>
<Relationships xmlns="http://schemas.openxmlformats.org/package/2006/relationships"><Relationship Id="rId2" Type="http://schemas.openxmlformats.org/officeDocument/2006/relationships/printerSettings" Target="../printerSettings/printerSettings8.bin"/><Relationship Id="rId1" Type="http://schemas.openxmlformats.org/officeDocument/2006/relationships/hyperlink" Target="mailto:prot.dgmc@giustiziacert.it" TargetMode="External"/></Relationships>
</file>

<file path=xl/worksheets/_rels/sheet9.xml.rels><?xml version="1.0" encoding="UTF-8" standalone="yes"?>
<Relationships xmlns="http://schemas.openxmlformats.org/package/2006/relationships"><Relationship Id="rId2" Type="http://schemas.openxmlformats.org/officeDocument/2006/relationships/printerSettings" Target="../printerSettings/printerSettings9.bin"/><Relationship Id="rId1" Type="http://schemas.openxmlformats.org/officeDocument/2006/relationships/hyperlink" Target="mailto:prot.dgmc@giustiziacert.it" TargetMode="External"/></Relationships>
</file>

<file path=xl/worksheets/_rels/sheet10.xml.rels><?xml version="1.0" encoding="UTF-8" standalone="yes"?>
<Relationships xmlns="http://schemas.openxmlformats.org/package/2006/relationships"><Relationship Id="rId2" Type="http://schemas.openxmlformats.org/officeDocument/2006/relationships/printerSettings" Target="../printerSettings/printerSettings10.bin"/><Relationship Id="rId1" Type="http://schemas.openxmlformats.org/officeDocument/2006/relationships/hyperlink" Target="mailto:prot.dgmc@giustiziacert.it" TargetMode="External"/></Relationships>
</file>

<file path=xl/worksheets/_rels/sheet11.xml.rels><?xml version="1.0" encoding="UTF-8" standalone="yes"?>
<Relationships xmlns="http://schemas.openxmlformats.org/package/2006/relationships"><Relationship Id="rId2" Type="http://schemas.openxmlformats.org/officeDocument/2006/relationships/printerSettings" Target="../printerSettings/printerSettings11.bin"/><Relationship Id="rId1" Type="http://schemas.openxmlformats.org/officeDocument/2006/relationships/hyperlink" Target="mailto:prot.dgmc@giustiziacert.it" TargetMode="External"/></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44546A"/>
    <pageSetUpPr fitToPage="1"/>
  </sheetPr>
  <dimension ref="A1:AMI27"/>
  <sheetViews>
    <sheetView showGridLines="0" tabSelected="1" zoomScale="80" zoomScaleNormal="80" workbookViewId="0">
      <selection activeCell="A7" sqref="A7:A24"/>
    </sheetView>
  </sheetViews>
  <sheetFormatPr defaultColWidth="8.5703125" defaultRowHeight="15.75" x14ac:dyDescent="0.25"/>
  <cols>
    <col min="1" max="1" width="23.42578125" style="1" customWidth="1"/>
    <col min="2" max="2" width="13.7109375" style="1" customWidth="1"/>
    <col min="3" max="3" width="29" style="1" customWidth="1"/>
    <col min="4" max="4" width="17.5703125" style="1" customWidth="1"/>
    <col min="5" max="5" width="17.5703125" style="2" customWidth="1"/>
    <col min="6" max="6" width="17.7109375" style="2" customWidth="1"/>
    <col min="7" max="7" width="19.5703125" style="1" customWidth="1"/>
    <col min="8" max="8" width="21" style="1" customWidth="1"/>
    <col min="9" max="9" width="18.28515625" style="1" customWidth="1"/>
    <col min="10" max="11" width="16.5703125" style="1" customWidth="1"/>
    <col min="12" max="12" width="15.28515625" style="1" customWidth="1"/>
    <col min="13" max="13" width="25.5703125" style="1" customWidth="1"/>
    <col min="14" max="14" width="8.5703125" style="1"/>
    <col min="15" max="16" width="12" style="1" customWidth="1"/>
    <col min="17" max="253" width="8.5703125" style="1"/>
    <col min="254" max="254" width="5.5703125" style="1" customWidth="1"/>
    <col min="255" max="255" width="13.7109375" style="1" customWidth="1"/>
    <col min="256" max="256" width="29" style="1" customWidth="1"/>
    <col min="257" max="257" width="14.42578125" style="1" customWidth="1"/>
    <col min="258" max="258" width="17.5703125" style="1" customWidth="1"/>
    <col min="259" max="259" width="17.7109375" style="1" customWidth="1"/>
    <col min="260" max="260" width="19.5703125" style="1" customWidth="1"/>
    <col min="261" max="261" width="21" style="1" customWidth="1"/>
    <col min="262" max="262" width="18.28515625" style="1" customWidth="1"/>
    <col min="263" max="265" width="16.5703125" style="1" customWidth="1"/>
    <col min="266" max="266" width="15.28515625" style="1" customWidth="1"/>
    <col min="267" max="267" width="25.5703125" style="1" customWidth="1"/>
    <col min="268" max="268" width="8.5703125" style="1"/>
    <col min="269" max="269" width="12" style="1" customWidth="1"/>
    <col min="270" max="270" width="11.42578125" style="1" customWidth="1"/>
    <col min="271" max="272" width="12" style="1" customWidth="1"/>
    <col min="273" max="509" width="8.5703125" style="1"/>
    <col min="510" max="510" width="5.5703125" style="1" customWidth="1"/>
    <col min="511" max="511" width="13.7109375" style="1" customWidth="1"/>
    <col min="512" max="512" width="29" style="1" customWidth="1"/>
    <col min="513" max="513" width="14.42578125" style="1" customWidth="1"/>
    <col min="514" max="514" width="17.5703125" style="1" customWidth="1"/>
    <col min="515" max="515" width="17.7109375" style="1" customWidth="1"/>
    <col min="516" max="516" width="19.5703125" style="1" customWidth="1"/>
    <col min="517" max="517" width="21" style="1" customWidth="1"/>
    <col min="518" max="518" width="18.28515625" style="1" customWidth="1"/>
    <col min="519" max="521" width="16.5703125" style="1" customWidth="1"/>
    <col min="522" max="522" width="15.28515625" style="1" customWidth="1"/>
    <col min="523" max="523" width="25.5703125" style="1" customWidth="1"/>
    <col min="524" max="524" width="8.5703125" style="1"/>
    <col min="525" max="525" width="12" style="1" customWidth="1"/>
    <col min="526" max="526" width="11.42578125" style="1" customWidth="1"/>
    <col min="527" max="528" width="12" style="1" customWidth="1"/>
    <col min="529" max="765" width="8.5703125" style="1"/>
    <col min="766" max="766" width="5.5703125" style="1" customWidth="1"/>
    <col min="767" max="767" width="13.7109375" style="1" customWidth="1"/>
    <col min="768" max="768" width="29" style="1" customWidth="1"/>
    <col min="769" max="769" width="14.42578125" style="1" customWidth="1"/>
    <col min="770" max="770" width="17.5703125" style="1" customWidth="1"/>
    <col min="771" max="771" width="17.7109375" style="1" customWidth="1"/>
    <col min="772" max="772" width="19.5703125" style="1" customWidth="1"/>
    <col min="773" max="773" width="21" style="1" customWidth="1"/>
    <col min="774" max="774" width="18.28515625" style="1" customWidth="1"/>
    <col min="775" max="777" width="16.5703125" style="1" customWidth="1"/>
    <col min="778" max="778" width="15.28515625" style="1" customWidth="1"/>
    <col min="779" max="779" width="25.5703125" style="1" customWidth="1"/>
    <col min="780" max="780" width="8.5703125" style="1"/>
    <col min="781" max="781" width="12" style="1" customWidth="1"/>
    <col min="782" max="782" width="11.42578125" style="1" customWidth="1"/>
    <col min="783" max="784" width="12" style="1" customWidth="1"/>
    <col min="785" max="1021" width="8.5703125" style="1"/>
    <col min="1022" max="1022" width="5.5703125" style="1" customWidth="1"/>
    <col min="1023" max="1023" width="13.7109375" style="1" customWidth="1"/>
  </cols>
  <sheetData>
    <row r="1" spans="1:16" x14ac:dyDescent="0.25">
      <c r="M1" s="225" t="s">
        <v>155</v>
      </c>
    </row>
    <row r="2" spans="1:16" ht="14.25" customHeight="1" x14ac:dyDescent="0.25">
      <c r="A2" s="274" t="s">
        <v>0</v>
      </c>
      <c r="B2" s="274"/>
      <c r="C2" s="274"/>
      <c r="D2" s="3"/>
      <c r="E2" s="4"/>
      <c r="F2" s="5"/>
      <c r="I2" s="275" t="s">
        <v>1</v>
      </c>
      <c r="J2" s="275"/>
      <c r="K2" s="275"/>
      <c r="M2" s="276"/>
      <c r="N2" s="276"/>
    </row>
    <row r="3" spans="1:16" ht="12.75" customHeight="1" x14ac:dyDescent="0.25">
      <c r="A3" s="277" t="s">
        <v>2</v>
      </c>
      <c r="B3" s="277"/>
      <c r="C3" s="277"/>
      <c r="D3" s="7"/>
      <c r="F3" s="8"/>
      <c r="H3" s="9"/>
      <c r="I3" s="278" t="s">
        <v>3</v>
      </c>
      <c r="J3" s="278"/>
      <c r="K3" s="278"/>
    </row>
    <row r="4" spans="1:16" ht="19.5" customHeight="1" x14ac:dyDescent="0.25">
      <c r="A4" s="279" t="s">
        <v>4</v>
      </c>
      <c r="B4" s="279" t="s">
        <v>5</v>
      </c>
      <c r="C4" s="279" t="s">
        <v>5</v>
      </c>
      <c r="D4" s="10"/>
      <c r="E4" s="11"/>
      <c r="F4" s="12"/>
      <c r="I4" s="278"/>
      <c r="J4" s="278"/>
      <c r="K4" s="278"/>
    </row>
    <row r="5" spans="1:16" ht="14.25" customHeight="1" x14ac:dyDescent="0.25">
      <c r="A5" s="13"/>
      <c r="B5" s="13"/>
      <c r="C5" s="13"/>
      <c r="D5" s="13"/>
      <c r="E5" s="14"/>
      <c r="F5" s="14"/>
      <c r="G5" s="13"/>
      <c r="H5" s="13"/>
      <c r="I5" s="13"/>
      <c r="J5" s="13"/>
      <c r="K5" s="13"/>
      <c r="L5" s="15"/>
      <c r="M5" s="15"/>
    </row>
    <row r="6" spans="1:16" x14ac:dyDescent="0.25">
      <c r="A6" s="273" t="s">
        <v>167</v>
      </c>
      <c r="B6" s="273"/>
      <c r="C6" s="273"/>
      <c r="D6" s="273"/>
      <c r="E6" s="273"/>
      <c r="F6" s="273"/>
      <c r="G6" s="273"/>
      <c r="H6" s="273"/>
      <c r="I6" s="273"/>
      <c r="J6" s="273"/>
      <c r="K6" s="273"/>
      <c r="L6" s="273"/>
      <c r="M6" s="273"/>
    </row>
    <row r="7" spans="1:16" ht="78.75" customHeight="1" x14ac:dyDescent="0.25">
      <c r="A7" s="301" t="s">
        <v>6</v>
      </c>
      <c r="B7" s="16" t="s">
        <v>7</v>
      </c>
      <c r="C7" s="16" t="s">
        <v>8</v>
      </c>
      <c r="D7" s="16" t="s">
        <v>9</v>
      </c>
      <c r="E7" s="17" t="s">
        <v>10</v>
      </c>
      <c r="F7" s="18"/>
      <c r="G7" s="16" t="s">
        <v>11</v>
      </c>
      <c r="H7" s="19" t="s">
        <v>12</v>
      </c>
      <c r="I7" s="19" t="s">
        <v>13</v>
      </c>
      <c r="J7" s="19" t="s">
        <v>14</v>
      </c>
      <c r="K7" s="20" t="s">
        <v>15</v>
      </c>
      <c r="L7" s="16" t="s">
        <v>16</v>
      </c>
      <c r="M7" s="21" t="s">
        <v>17</v>
      </c>
    </row>
    <row r="8" spans="1:16" ht="31.5" x14ac:dyDescent="0.25">
      <c r="A8" s="301"/>
      <c r="B8" s="22" t="s">
        <v>18</v>
      </c>
      <c r="C8" s="227">
        <v>42199.62</v>
      </c>
      <c r="D8" s="227">
        <v>12155.3</v>
      </c>
      <c r="E8" s="228">
        <f>+(C8+D8)/12</f>
        <v>4529.5766666666668</v>
      </c>
      <c r="F8" s="18"/>
      <c r="G8" s="23">
        <f>+C8+D8+E8</f>
        <v>58884.496666666666</v>
      </c>
      <c r="H8" s="24">
        <f>+(C8+C8/12)*27.83%+(D8+D8/12)*24.2%</f>
        <v>15909.548249833335</v>
      </c>
      <c r="I8" s="24">
        <f>+G8*8.5%</f>
        <v>5005.182216666667</v>
      </c>
      <c r="J8" s="24">
        <f>+(C8+C8/12)*5.68%+(D8+D8/12)*3.41%</f>
        <v>3045.7203248333335</v>
      </c>
      <c r="K8" s="25">
        <f>+G8+H8+I8+J8</f>
        <v>82844.94745800001</v>
      </c>
      <c r="L8" s="26">
        <v>1</v>
      </c>
      <c r="M8" s="27">
        <f>+ROUND(L8*K8,2)</f>
        <v>82844.95</v>
      </c>
    </row>
    <row r="9" spans="1:16" ht="30.75" customHeight="1" x14ac:dyDescent="0.25">
      <c r="A9" s="301"/>
      <c r="B9" s="17" t="s">
        <v>19</v>
      </c>
      <c r="C9" s="229">
        <v>27822.22</v>
      </c>
      <c r="D9" s="229">
        <v>11128.51</v>
      </c>
      <c r="E9" s="228">
        <f>+(C9+D9)/12</f>
        <v>3245.8941666666669</v>
      </c>
      <c r="F9" s="18"/>
      <c r="G9" s="23">
        <f>+C9+D9+E9</f>
        <v>42196.624166666668</v>
      </c>
      <c r="H9" s="24">
        <f>+(C9+C9/12)*27.83%+(D9+D9/12)*24.2%</f>
        <v>11305.691849833333</v>
      </c>
      <c r="I9" s="24">
        <f>+G9*8.5%</f>
        <v>3586.713054166667</v>
      </c>
      <c r="J9" s="24">
        <f>+(C9+C9/12)*5.68%+(D9+D9/12)*3.41%</f>
        <v>2123.09964425</v>
      </c>
      <c r="K9" s="25">
        <f>+G9+H9+I9+J9</f>
        <v>59212.128714916675</v>
      </c>
      <c r="L9" s="28">
        <v>52</v>
      </c>
      <c r="M9" s="27">
        <f>+ROUND(L9*K9,2)</f>
        <v>3079030.69</v>
      </c>
    </row>
    <row r="10" spans="1:16" x14ac:dyDescent="0.25">
      <c r="A10" s="322"/>
      <c r="B10" s="30"/>
      <c r="C10" s="31"/>
      <c r="D10" s="31"/>
      <c r="E10" s="31"/>
      <c r="F10" s="32"/>
      <c r="G10" s="31"/>
      <c r="H10" s="31"/>
      <c r="I10" s="31"/>
      <c r="J10" s="31"/>
      <c r="K10" s="31"/>
      <c r="L10" s="31"/>
      <c r="M10" s="31"/>
    </row>
    <row r="11" spans="1:16" ht="90" customHeight="1" x14ac:dyDescent="0.25">
      <c r="A11" s="301" t="s">
        <v>20</v>
      </c>
      <c r="B11" s="16" t="s">
        <v>7</v>
      </c>
      <c r="C11" s="16" t="s">
        <v>21</v>
      </c>
      <c r="D11" s="16" t="s">
        <v>22</v>
      </c>
      <c r="E11" s="16"/>
      <c r="F11" s="16"/>
      <c r="G11" s="16" t="s">
        <v>11</v>
      </c>
      <c r="H11" s="16" t="s">
        <v>194</v>
      </c>
      <c r="I11" s="16" t="s">
        <v>61</v>
      </c>
      <c r="J11" s="16" t="s">
        <v>195</v>
      </c>
      <c r="K11" s="20" t="s">
        <v>15</v>
      </c>
      <c r="L11" s="16" t="s">
        <v>23</v>
      </c>
      <c r="M11" s="33" t="s">
        <v>24</v>
      </c>
    </row>
    <row r="12" spans="1:16" ht="18" customHeight="1" x14ac:dyDescent="0.25">
      <c r="A12" s="301"/>
      <c r="B12" s="34" t="s">
        <v>25</v>
      </c>
      <c r="C12" s="35">
        <v>60102.87</v>
      </c>
      <c r="D12" s="36">
        <v>2314.2600000000002</v>
      </c>
      <c r="F12" s="18"/>
      <c r="G12" s="37">
        <f>+C12+D12</f>
        <v>62417.130000000005</v>
      </c>
      <c r="H12" s="38">
        <f>G12*24.2%</f>
        <v>15104.945460000001</v>
      </c>
      <c r="I12" s="38">
        <f>G12*7.1%*80%</f>
        <v>3545.2929839999997</v>
      </c>
      <c r="J12" s="38">
        <f>G12*8.5%</f>
        <v>5305.4560500000007</v>
      </c>
      <c r="K12" s="39">
        <f>+ROUND(+G12+H12+I12+J12,2)</f>
        <v>86372.82</v>
      </c>
      <c r="L12" s="40">
        <v>3</v>
      </c>
      <c r="M12" s="41">
        <f>+ROUND(L12*K12,2)</f>
        <v>259118.46</v>
      </c>
      <c r="N12" s="42"/>
    </row>
    <row r="13" spans="1:16" ht="18" customHeight="1" x14ac:dyDescent="0.25">
      <c r="A13" s="301"/>
      <c r="B13" s="34" t="s">
        <v>26</v>
      </c>
      <c r="C13" s="35">
        <v>47015.77</v>
      </c>
      <c r="D13" s="36">
        <v>1809.86</v>
      </c>
      <c r="E13" s="43"/>
      <c r="F13" s="18"/>
      <c r="G13" s="37">
        <f>+C13+D13</f>
        <v>48825.63</v>
      </c>
      <c r="H13" s="38">
        <f>G13*24.2%</f>
        <v>11815.802459999999</v>
      </c>
      <c r="I13" s="38">
        <f>G13*7.1%*80%</f>
        <v>2773.2957839999999</v>
      </c>
      <c r="J13" s="38">
        <f>G13*8.5%</f>
        <v>4150.1785499999996</v>
      </c>
      <c r="K13" s="39">
        <f>+ROUND(+G13+H13+I13+J13,2)</f>
        <v>67564.91</v>
      </c>
      <c r="L13" s="40">
        <v>17</v>
      </c>
      <c r="M13" s="41">
        <f>+ROUND(L13*K13,2)</f>
        <v>1148603.47</v>
      </c>
      <c r="N13" s="42"/>
      <c r="P13" s="9"/>
    </row>
    <row r="14" spans="1:16" ht="14.25" customHeight="1" x14ac:dyDescent="0.25">
      <c r="A14" s="322"/>
      <c r="B14" s="30"/>
      <c r="C14" s="31"/>
      <c r="D14" s="31"/>
      <c r="E14" s="31"/>
      <c r="F14" s="31"/>
      <c r="G14" s="31"/>
      <c r="H14" s="31"/>
      <c r="I14" s="31"/>
      <c r="J14" s="31"/>
      <c r="K14" s="31"/>
      <c r="L14" s="31"/>
      <c r="M14" s="31"/>
      <c r="N14" s="42"/>
      <c r="P14" s="9"/>
    </row>
    <row r="15" spans="1:16" ht="94.5" customHeight="1" x14ac:dyDescent="0.25">
      <c r="A15" s="301" t="s">
        <v>27</v>
      </c>
      <c r="B15" s="44"/>
      <c r="C15" s="16" t="s">
        <v>28</v>
      </c>
      <c r="D15" s="16" t="s">
        <v>22</v>
      </c>
      <c r="E15" s="16" t="s">
        <v>29</v>
      </c>
      <c r="F15" s="16" t="s">
        <v>30</v>
      </c>
      <c r="G15" s="16" t="s">
        <v>31</v>
      </c>
      <c r="H15" s="16" t="s">
        <v>32</v>
      </c>
      <c r="I15" s="16"/>
      <c r="J15" s="16"/>
      <c r="K15" s="20" t="s">
        <v>15</v>
      </c>
      <c r="L15" s="16" t="s">
        <v>23</v>
      </c>
      <c r="M15" s="33" t="s">
        <v>24</v>
      </c>
      <c r="N15" s="42"/>
      <c r="P15" s="9"/>
    </row>
    <row r="16" spans="1:16" ht="14.25" customHeight="1" x14ac:dyDescent="0.25">
      <c r="A16" s="301"/>
      <c r="B16" s="43" t="s">
        <v>193</v>
      </c>
      <c r="C16" s="45">
        <v>35000</v>
      </c>
      <c r="D16" s="45">
        <v>1347.32</v>
      </c>
      <c r="E16" s="45"/>
      <c r="F16" s="45"/>
      <c r="G16" s="45">
        <f>+C16+D16+E16+F16</f>
        <v>36347.32</v>
      </c>
      <c r="H16" s="45">
        <f>+(C16+D16+E16)*38.38%+(F16*32.7%)</f>
        <v>13950.101416000001</v>
      </c>
      <c r="I16" s="46"/>
      <c r="J16" s="45"/>
      <c r="K16" s="39">
        <f>+ROUND(+G16+H16+I16+J16,2)</f>
        <v>50297.42</v>
      </c>
      <c r="L16" s="47"/>
      <c r="M16" s="41">
        <f>+ROUND(L16*K16,2)</f>
        <v>0</v>
      </c>
      <c r="N16" s="42"/>
      <c r="P16" s="9"/>
    </row>
    <row r="17" spans="1:16" ht="14.25" customHeight="1" x14ac:dyDescent="0.25">
      <c r="A17" s="301"/>
      <c r="B17" s="30"/>
      <c r="C17" s="31"/>
      <c r="D17" s="31"/>
      <c r="E17" s="31"/>
      <c r="F17" s="31"/>
      <c r="G17" s="31"/>
      <c r="H17" s="31"/>
      <c r="I17" s="31"/>
      <c r="J17" s="31"/>
      <c r="K17" s="31"/>
      <c r="L17" s="31"/>
      <c r="M17" s="31"/>
      <c r="N17" s="42"/>
      <c r="P17" s="9"/>
    </row>
    <row r="18" spans="1:16" ht="87" customHeight="1" x14ac:dyDescent="0.25">
      <c r="A18" s="301"/>
      <c r="B18" s="44"/>
      <c r="C18" s="16" t="s">
        <v>33</v>
      </c>
      <c r="D18" s="16" t="s">
        <v>34</v>
      </c>
      <c r="E18" s="16" t="s">
        <v>196</v>
      </c>
      <c r="F18" s="16" t="s">
        <v>35</v>
      </c>
      <c r="G18" s="16" t="s">
        <v>36</v>
      </c>
      <c r="H18" s="16" t="s">
        <v>194</v>
      </c>
      <c r="I18" s="16" t="s">
        <v>61</v>
      </c>
      <c r="J18" s="16" t="s">
        <v>195</v>
      </c>
      <c r="K18" s="20" t="s">
        <v>15</v>
      </c>
      <c r="L18" s="16" t="s">
        <v>23</v>
      </c>
      <c r="M18" s="33" t="s">
        <v>24</v>
      </c>
      <c r="N18" s="42"/>
      <c r="P18" s="9"/>
    </row>
    <row r="19" spans="1:16" ht="15.75" customHeight="1" x14ac:dyDescent="0.25">
      <c r="A19" s="301"/>
      <c r="B19" s="43" t="s">
        <v>37</v>
      </c>
      <c r="C19" s="35">
        <v>23501.93</v>
      </c>
      <c r="D19" s="36">
        <v>904.56</v>
      </c>
      <c r="E19" s="36"/>
      <c r="F19" s="48">
        <f>+ROUND((C19+D19+E19)/12,2)</f>
        <v>2033.87</v>
      </c>
      <c r="G19" s="36">
        <f>+F19+D19+C19+E19</f>
        <v>26440.36</v>
      </c>
      <c r="H19" s="45">
        <f>G19*24.2%</f>
        <v>6398.5671199999997</v>
      </c>
      <c r="I19" s="45">
        <f>G19*7.1%*80%</f>
        <v>1501.8124479999999</v>
      </c>
      <c r="J19" s="45">
        <f>G19*8.5%</f>
        <v>2247.4306000000001</v>
      </c>
      <c r="K19" s="39">
        <f>+ROUND(+G19+H19+I19+J19,2)</f>
        <v>36588.17</v>
      </c>
      <c r="L19" s="49">
        <v>3330</v>
      </c>
      <c r="M19" s="41">
        <f>+ROUND(L19*K19,2)</f>
        <v>121838606.09999999</v>
      </c>
      <c r="N19" s="42"/>
    </row>
    <row r="20" spans="1:16" x14ac:dyDescent="0.25">
      <c r="A20" s="301"/>
      <c r="B20" s="50"/>
      <c r="C20" s="51"/>
      <c r="D20" s="52"/>
      <c r="E20" s="52"/>
      <c r="F20" s="51"/>
      <c r="G20" s="51"/>
      <c r="H20" s="51"/>
      <c r="I20" s="51"/>
      <c r="J20" s="51"/>
      <c r="K20" s="51"/>
      <c r="L20" s="53"/>
      <c r="M20" s="54"/>
      <c r="N20" s="42"/>
      <c r="O20" s="9"/>
    </row>
    <row r="21" spans="1:16" ht="15" customHeight="1" x14ac:dyDescent="0.25">
      <c r="A21" s="301"/>
      <c r="B21" s="43" t="s">
        <v>38</v>
      </c>
      <c r="C21" s="35">
        <v>19351.97</v>
      </c>
      <c r="D21" s="36">
        <v>744.72</v>
      </c>
      <c r="E21" s="36"/>
      <c r="F21" s="48">
        <f>+ROUND((C21+D21+E21)/12,2)</f>
        <v>1674.72</v>
      </c>
      <c r="G21" s="36">
        <f>+F21+D21+C21+E21</f>
        <v>21771.41</v>
      </c>
      <c r="H21" s="45">
        <f>G21*24.2%</f>
        <v>5268.6812199999995</v>
      </c>
      <c r="I21" s="45">
        <f>G21*7.1%*80%</f>
        <v>1236.616088</v>
      </c>
      <c r="J21" s="45">
        <f>G21*8.5%</f>
        <v>1850.5698500000001</v>
      </c>
      <c r="K21" s="39">
        <f>+ROUND(+G21+H21+I21+J21,2)</f>
        <v>30127.279999999999</v>
      </c>
      <c r="L21" s="49">
        <v>1182</v>
      </c>
      <c r="M21" s="41">
        <f>+ROUND(L21*K21,2)</f>
        <v>35610444.960000001</v>
      </c>
      <c r="N21" s="42"/>
      <c r="P21" s="55"/>
    </row>
    <row r="22" spans="1:16" ht="15" customHeight="1" x14ac:dyDescent="0.25">
      <c r="A22" s="301"/>
      <c r="B22" s="56"/>
      <c r="C22" s="57"/>
      <c r="D22" s="52"/>
      <c r="E22" s="52"/>
      <c r="F22" s="52"/>
      <c r="G22" s="51"/>
      <c r="H22" s="52"/>
      <c r="I22" s="52"/>
      <c r="J22" s="52"/>
      <c r="K22" s="52"/>
      <c r="L22" s="58"/>
      <c r="M22" s="59"/>
      <c r="N22" s="42"/>
      <c r="P22" s="55"/>
    </row>
    <row r="23" spans="1:16" x14ac:dyDescent="0.25">
      <c r="A23" s="301"/>
      <c r="B23" s="43" t="s">
        <v>39</v>
      </c>
      <c r="C23" s="35">
        <v>18390.84</v>
      </c>
      <c r="D23" s="36">
        <v>707.76</v>
      </c>
      <c r="E23" s="36"/>
      <c r="F23" s="48">
        <f>+ROUND((C23+D23+E23)/12,2)</f>
        <v>1591.55</v>
      </c>
      <c r="G23" s="36">
        <f>+F23+D23+C23+E23</f>
        <v>20690.150000000001</v>
      </c>
      <c r="H23" s="45">
        <f>G23*24.2%</f>
        <v>5007.0163000000002</v>
      </c>
      <c r="I23" s="45">
        <f>G23*7.1%*80%</f>
        <v>1175.2005200000001</v>
      </c>
      <c r="J23" s="45">
        <f>G23*8.5%</f>
        <v>1758.6627500000002</v>
      </c>
      <c r="K23" s="39">
        <f>+ROUND(+G23+H23+I23+J23,2)</f>
        <v>28631.03</v>
      </c>
      <c r="L23" s="49">
        <v>42</v>
      </c>
      <c r="M23" s="41">
        <f>+ROUND(L23*K23,2)</f>
        <v>1202503.26</v>
      </c>
      <c r="N23" s="42"/>
    </row>
    <row r="24" spans="1:16" x14ac:dyDescent="0.25">
      <c r="A24" s="301"/>
      <c r="B24" s="50"/>
      <c r="C24" s="51"/>
      <c r="D24" s="52"/>
      <c r="E24" s="52"/>
      <c r="F24" s="51"/>
      <c r="G24" s="51"/>
      <c r="H24" s="52"/>
      <c r="I24" s="52"/>
      <c r="J24" s="52"/>
      <c r="K24" s="52"/>
      <c r="L24" s="58"/>
      <c r="M24" s="59"/>
      <c r="N24" s="42"/>
    </row>
    <row r="25" spans="1:16" ht="35.25" customHeight="1" x14ac:dyDescent="0.3">
      <c r="C25" s="42"/>
      <c r="D25" s="42"/>
      <c r="E25" s="42"/>
      <c r="F25" s="42"/>
      <c r="G25" s="42"/>
      <c r="H25" s="42"/>
      <c r="I25" s="42"/>
      <c r="J25" s="42"/>
      <c r="K25" s="60" t="s">
        <v>40</v>
      </c>
      <c r="L25" s="61">
        <f>+SUM(L8:L23)</f>
        <v>4627</v>
      </c>
      <c r="M25" s="62">
        <f>+SUM(M8:M23)</f>
        <v>163221151.88999999</v>
      </c>
      <c r="N25" s="42"/>
    </row>
    <row r="26" spans="1:16" ht="18" customHeight="1" x14ac:dyDescent="0.25">
      <c r="C26" s="42"/>
      <c r="D26" s="42"/>
      <c r="E26" s="42"/>
      <c r="F26" s="42"/>
      <c r="G26" s="42"/>
      <c r="H26" s="42"/>
      <c r="I26" s="42"/>
      <c r="J26" s="42"/>
      <c r="K26" s="42"/>
      <c r="L26" s="42"/>
      <c r="M26" s="42"/>
      <c r="N26" s="42"/>
    </row>
    <row r="27" spans="1:16" ht="18" customHeight="1" x14ac:dyDescent="0.25">
      <c r="K27" s="2"/>
      <c r="L27" s="2"/>
      <c r="M27" s="2"/>
    </row>
  </sheetData>
  <mergeCells count="10">
    <mergeCell ref="A6:M6"/>
    <mergeCell ref="A7:A9"/>
    <mergeCell ref="A11:A13"/>
    <mergeCell ref="A15:A24"/>
    <mergeCell ref="A2:C2"/>
    <mergeCell ref="I2:K2"/>
    <mergeCell ref="M2:N2"/>
    <mergeCell ref="A3:C3"/>
    <mergeCell ref="I3:K4"/>
    <mergeCell ref="A4:C4"/>
  </mergeCells>
  <pageMargins left="0.29027777777777802" right="0.17013888888888901" top="0.35" bottom="0.45" header="0.511811023622047" footer="0.511811023622047"/>
  <pageSetup paperSize="9" scale="59" orientation="landscape" horizontalDpi="300" verticalDpi="3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44546A"/>
    <pageSetUpPr fitToPage="1"/>
  </sheetPr>
  <dimension ref="A1:AMJ32"/>
  <sheetViews>
    <sheetView showGridLines="0" zoomScale="80" zoomScaleNormal="80" workbookViewId="0">
      <selection activeCell="A6" sqref="A6:A23"/>
    </sheetView>
  </sheetViews>
  <sheetFormatPr defaultColWidth="8.5703125" defaultRowHeight="15.75" x14ac:dyDescent="0.25"/>
  <cols>
    <col min="1" max="1" width="22" style="1" customWidth="1"/>
    <col min="2" max="2" width="13.28515625" style="1" customWidth="1"/>
    <col min="3" max="3" width="17.7109375" style="1" customWidth="1"/>
    <col min="4" max="4" width="18" style="1" customWidth="1"/>
    <col min="5" max="5" width="13.7109375" style="1" customWidth="1"/>
    <col min="6" max="6" width="16.28515625" style="1" customWidth="1"/>
    <col min="7" max="7" width="12.7109375" style="1" customWidth="1"/>
    <col min="8" max="8" width="23.85546875" style="1" customWidth="1"/>
    <col min="9" max="9" width="16.28515625" style="1" customWidth="1"/>
    <col min="10" max="10" width="17.85546875" style="1" customWidth="1"/>
    <col min="11" max="11" width="14.28515625" style="1" customWidth="1"/>
    <col min="12" max="12" width="13.7109375" style="1" customWidth="1"/>
    <col min="13" max="13" width="13.5703125" style="1" customWidth="1"/>
    <col min="14" max="14" width="22.140625" style="1" customWidth="1"/>
    <col min="15" max="15" width="12" style="1" customWidth="1"/>
    <col min="16" max="16" width="8.5703125" style="1"/>
    <col min="17" max="17" width="12" style="1" customWidth="1"/>
    <col min="18" max="18" width="11.42578125" style="1" customWidth="1"/>
    <col min="19" max="20" width="12" style="1" customWidth="1"/>
    <col min="21" max="255" width="8.5703125" style="1"/>
    <col min="256" max="256" width="5.5703125" style="1" customWidth="1"/>
    <col min="257" max="257" width="13.28515625" style="1" customWidth="1"/>
    <col min="258" max="258" width="17.7109375" style="1" customWidth="1"/>
    <col min="259" max="259" width="17.28515625" style="1" customWidth="1"/>
    <col min="260" max="260" width="13.7109375" style="1" customWidth="1"/>
    <col min="261" max="261" width="16.28515625" style="1" customWidth="1"/>
    <col min="262" max="262" width="12.7109375" style="1" customWidth="1"/>
    <col min="263" max="263" width="19.5703125" style="1" customWidth="1"/>
    <col min="264" max="264" width="20" style="1" customWidth="1"/>
    <col min="265" max="265" width="11.7109375" style="1" customWidth="1"/>
    <col min="266" max="266" width="10.7109375" style="1" customWidth="1"/>
    <col min="267" max="267" width="13.7109375" style="1" customWidth="1"/>
    <col min="268" max="268" width="13.5703125" style="1" customWidth="1"/>
    <col min="269" max="269" width="17.28515625" style="1" customWidth="1"/>
    <col min="270" max="270" width="21.7109375" style="1" customWidth="1"/>
    <col min="271" max="271" width="12" style="1" customWidth="1"/>
    <col min="272" max="272" width="8.5703125" style="1"/>
    <col min="273" max="273" width="12" style="1" customWidth="1"/>
    <col min="274" max="274" width="11.42578125" style="1" customWidth="1"/>
    <col min="275" max="276" width="12" style="1" customWidth="1"/>
    <col min="277" max="511" width="8.5703125" style="1"/>
    <col min="512" max="512" width="5.5703125" style="1" customWidth="1"/>
    <col min="513" max="513" width="13.28515625" style="1" customWidth="1"/>
    <col min="514" max="514" width="17.7109375" style="1" customWidth="1"/>
    <col min="515" max="515" width="17.28515625" style="1" customWidth="1"/>
    <col min="516" max="516" width="13.7109375" style="1" customWidth="1"/>
    <col min="517" max="517" width="16.28515625" style="1" customWidth="1"/>
    <col min="518" max="518" width="12.7109375" style="1" customWidth="1"/>
    <col min="519" max="519" width="19.5703125" style="1" customWidth="1"/>
    <col min="520" max="520" width="20" style="1" customWidth="1"/>
    <col min="521" max="521" width="11.7109375" style="1" customWidth="1"/>
    <col min="522" max="522" width="10.7109375" style="1" customWidth="1"/>
    <col min="523" max="523" width="13.7109375" style="1" customWidth="1"/>
    <col min="524" max="524" width="13.5703125" style="1" customWidth="1"/>
    <col min="525" max="525" width="17.28515625" style="1" customWidth="1"/>
    <col min="526" max="526" width="21.7109375" style="1" customWidth="1"/>
    <col min="527" max="527" width="12" style="1" customWidth="1"/>
    <col min="528" max="528" width="8.5703125" style="1"/>
    <col min="529" max="529" width="12" style="1" customWidth="1"/>
    <col min="530" max="530" width="11.42578125" style="1" customWidth="1"/>
    <col min="531" max="532" width="12" style="1" customWidth="1"/>
    <col min="533" max="767" width="8.5703125" style="1"/>
    <col min="768" max="768" width="5.5703125" style="1" customWidth="1"/>
    <col min="769" max="769" width="13.28515625" style="1" customWidth="1"/>
    <col min="770" max="770" width="17.7109375" style="1" customWidth="1"/>
    <col min="771" max="771" width="17.28515625" style="1" customWidth="1"/>
    <col min="772" max="772" width="13.7109375" style="1" customWidth="1"/>
    <col min="773" max="773" width="16.28515625" style="1" customWidth="1"/>
    <col min="774" max="774" width="12.7109375" style="1" customWidth="1"/>
    <col min="775" max="775" width="19.5703125" style="1" customWidth="1"/>
    <col min="776" max="776" width="20" style="1" customWidth="1"/>
    <col min="777" max="777" width="11.7109375" style="1" customWidth="1"/>
    <col min="778" max="778" width="10.7109375" style="1" customWidth="1"/>
    <col min="779" max="779" width="13.7109375" style="1" customWidth="1"/>
    <col min="780" max="780" width="13.5703125" style="1" customWidth="1"/>
    <col min="781" max="781" width="17.28515625" style="1" customWidth="1"/>
    <col min="782" max="782" width="21.7109375" style="1" customWidth="1"/>
    <col min="783" max="783" width="12" style="1" customWidth="1"/>
    <col min="784" max="784" width="8.5703125" style="1"/>
    <col min="785" max="785" width="12" style="1" customWidth="1"/>
    <col min="786" max="786" width="11.42578125" style="1" customWidth="1"/>
    <col min="787" max="788" width="12" style="1" customWidth="1"/>
    <col min="789" max="1023" width="8.5703125" style="1"/>
    <col min="1024" max="1024" width="5.5703125" style="1" customWidth="1"/>
  </cols>
  <sheetData>
    <row r="1" spans="1:18" ht="18.75" customHeight="1" x14ac:dyDescent="0.25">
      <c r="A1" s="280" t="s">
        <v>42</v>
      </c>
      <c r="B1" s="280"/>
      <c r="C1" s="280"/>
      <c r="D1" s="65" t="s">
        <v>43</v>
      </c>
      <c r="E1" s="66"/>
      <c r="F1" s="67"/>
      <c r="I1" s="281" t="s">
        <v>1</v>
      </c>
      <c r="J1" s="281"/>
      <c r="K1" s="281"/>
      <c r="L1" s="281"/>
      <c r="N1" s="6" t="s">
        <v>156</v>
      </c>
    </row>
    <row r="2" spans="1:18" ht="18.75" customHeight="1" x14ac:dyDescent="0.25">
      <c r="A2" s="282" t="s">
        <v>44</v>
      </c>
      <c r="B2" s="282"/>
      <c r="C2" s="282"/>
      <c r="D2" s="68" t="s">
        <v>45</v>
      </c>
      <c r="E2" s="14"/>
      <c r="F2" s="69"/>
      <c r="H2" s="9"/>
      <c r="I2" s="281" t="s">
        <v>3</v>
      </c>
      <c r="J2" s="281"/>
      <c r="K2" s="281"/>
      <c r="L2" s="281"/>
    </row>
    <row r="3" spans="1:18" ht="18.75" customHeight="1" x14ac:dyDescent="0.25">
      <c r="A3" s="283" t="s">
        <v>46</v>
      </c>
      <c r="B3" s="283" t="s">
        <v>5</v>
      </c>
      <c r="C3" s="283" t="s">
        <v>5</v>
      </c>
      <c r="D3" s="284" t="s">
        <v>47</v>
      </c>
      <c r="E3" s="284"/>
      <c r="F3" s="70"/>
      <c r="I3" s="281"/>
      <c r="J3" s="281"/>
      <c r="K3" s="281"/>
      <c r="L3" s="281"/>
    </row>
    <row r="4" spans="1:18" ht="16.5" customHeight="1" x14ac:dyDescent="0.25">
      <c r="A4" s="13"/>
      <c r="B4" s="13"/>
      <c r="C4" s="13"/>
      <c r="D4" s="13"/>
      <c r="E4" s="13"/>
      <c r="F4" s="13"/>
      <c r="G4" s="13"/>
      <c r="H4" s="13"/>
      <c r="I4" s="13"/>
      <c r="J4" s="13"/>
      <c r="K4" s="13"/>
      <c r="L4" s="13"/>
      <c r="M4" s="15"/>
      <c r="N4" s="15"/>
    </row>
    <row r="5" spans="1:18" ht="19.5" customHeight="1" x14ac:dyDescent="0.25">
      <c r="A5" s="287" t="s">
        <v>48</v>
      </c>
      <c r="B5" s="287"/>
      <c r="C5" s="287"/>
      <c r="D5" s="287"/>
      <c r="E5" s="287"/>
      <c r="F5" s="287"/>
      <c r="G5" s="287"/>
      <c r="H5" s="287"/>
      <c r="I5" s="287"/>
      <c r="J5" s="287"/>
      <c r="K5" s="287"/>
      <c r="L5" s="287"/>
      <c r="M5" s="287"/>
      <c r="N5" s="287"/>
    </row>
    <row r="6" spans="1:18" ht="72.75" customHeight="1" x14ac:dyDescent="0.25">
      <c r="A6" s="301" t="s">
        <v>6</v>
      </c>
      <c r="B6" s="16" t="s">
        <v>7</v>
      </c>
      <c r="C6" s="16" t="s">
        <v>8</v>
      </c>
      <c r="D6" s="16" t="s">
        <v>9</v>
      </c>
      <c r="E6" s="17" t="s">
        <v>10</v>
      </c>
      <c r="F6" s="18"/>
      <c r="G6" s="16" t="s">
        <v>11</v>
      </c>
      <c r="H6" s="19" t="s">
        <v>12</v>
      </c>
      <c r="I6" s="19" t="s">
        <v>199</v>
      </c>
      <c r="J6" s="19" t="s">
        <v>14</v>
      </c>
      <c r="K6" s="71" t="s">
        <v>15</v>
      </c>
      <c r="L6" s="72" t="s">
        <v>49</v>
      </c>
      <c r="M6" s="72" t="s">
        <v>50</v>
      </c>
      <c r="N6" s="73" t="s">
        <v>51</v>
      </c>
    </row>
    <row r="7" spans="1:18" ht="37.5" customHeight="1" x14ac:dyDescent="0.25">
      <c r="A7" s="301"/>
      <c r="B7" s="22" t="s">
        <v>18</v>
      </c>
      <c r="C7" s="229">
        <v>42199.62</v>
      </c>
      <c r="D7" s="229">
        <v>12155.3</v>
      </c>
      <c r="E7" s="228">
        <f>+(C7+D7)/12</f>
        <v>4529.5766666666668</v>
      </c>
      <c r="F7" s="18"/>
      <c r="G7" s="23">
        <f>+C7+D7+E7</f>
        <v>58884.496666666666</v>
      </c>
      <c r="H7" s="24">
        <f>+(C7+C7/12)*27.83%+(D7+D7/12)*24.2%</f>
        <v>15909.548249833335</v>
      </c>
      <c r="I7" s="24">
        <f>+G7*8.5%</f>
        <v>5005.182216666667</v>
      </c>
      <c r="J7" s="24">
        <f>+(C7+C7/12)*5.68%+(D7+D7/12)*3.41%</f>
        <v>3045.7203248333335</v>
      </c>
      <c r="K7" s="74">
        <f>+G7+H7+I7+J7</f>
        <v>82844.94745800001</v>
      </c>
      <c r="L7" s="75">
        <v>1</v>
      </c>
      <c r="M7" s="76"/>
      <c r="N7" s="77">
        <f>+ROUND(+(L7+M7)*K7,2)</f>
        <v>82844.95</v>
      </c>
    </row>
    <row r="8" spans="1:18" ht="39" customHeight="1" x14ac:dyDescent="0.25">
      <c r="A8" s="301"/>
      <c r="B8" s="17" t="s">
        <v>19</v>
      </c>
      <c r="C8" s="229">
        <v>27822.22</v>
      </c>
      <c r="D8" s="229">
        <v>11128.51</v>
      </c>
      <c r="E8" s="228">
        <f>+(C8+D8)/12</f>
        <v>3245.8941666666669</v>
      </c>
      <c r="F8" s="18"/>
      <c r="G8" s="23">
        <f>+C8+D8+E8</f>
        <v>42196.624166666668</v>
      </c>
      <c r="H8" s="24">
        <f>+(C8+C8/12)*27.83%+(D8+D8/12)*24.2%</f>
        <v>11305.691849833333</v>
      </c>
      <c r="I8" s="24">
        <f>+G8*8.5%</f>
        <v>3586.713054166667</v>
      </c>
      <c r="J8" s="24">
        <f>+(C8+C8/12)*5.68%+(D8+D8/12)*3.41%</f>
        <v>2123.09964425</v>
      </c>
      <c r="K8" s="74">
        <f>+G8+H8+I8+J8</f>
        <v>59212.128714916675</v>
      </c>
      <c r="L8" s="75">
        <v>42</v>
      </c>
      <c r="M8" s="76"/>
      <c r="N8" s="77">
        <f>+ROUND(+(L8+M8)*K8,2)</f>
        <v>2486909.41</v>
      </c>
    </row>
    <row r="9" spans="1:18" ht="19.5" customHeight="1" x14ac:dyDescent="0.25">
      <c r="A9" s="322"/>
      <c r="B9" s="30"/>
      <c r="C9" s="31"/>
      <c r="D9" s="31"/>
      <c r="E9" s="31"/>
      <c r="F9" s="32"/>
      <c r="G9" s="31"/>
      <c r="H9" s="31"/>
      <c r="I9" s="31"/>
      <c r="J9" s="31"/>
      <c r="K9" s="31"/>
      <c r="L9" s="31"/>
      <c r="M9" s="31"/>
      <c r="N9" s="31"/>
    </row>
    <row r="10" spans="1:18" ht="78.75" customHeight="1" x14ac:dyDescent="0.25">
      <c r="A10" s="301" t="s">
        <v>20</v>
      </c>
      <c r="B10" s="16" t="s">
        <v>7</v>
      </c>
      <c r="C10" s="16" t="s">
        <v>21</v>
      </c>
      <c r="D10" s="16" t="s">
        <v>22</v>
      </c>
      <c r="E10" s="16"/>
      <c r="F10" s="16"/>
      <c r="G10" s="16" t="s">
        <v>11</v>
      </c>
      <c r="H10" s="16" t="s">
        <v>60</v>
      </c>
      <c r="I10" s="16" t="s">
        <v>198</v>
      </c>
      <c r="J10" s="16" t="s">
        <v>65</v>
      </c>
      <c r="K10" s="71" t="s">
        <v>15</v>
      </c>
      <c r="L10" s="72" t="s">
        <v>49</v>
      </c>
      <c r="M10" s="72" t="s">
        <v>50</v>
      </c>
      <c r="N10" s="73" t="s">
        <v>51</v>
      </c>
    </row>
    <row r="11" spans="1:18" ht="18" customHeight="1" x14ac:dyDescent="0.25">
      <c r="A11" s="301"/>
      <c r="B11" s="34" t="s">
        <v>25</v>
      </c>
      <c r="C11" s="35">
        <v>60102.87</v>
      </c>
      <c r="D11" s="36">
        <v>2314.2600000000002</v>
      </c>
      <c r="E11" s="2"/>
      <c r="F11" s="18"/>
      <c r="G11" s="37">
        <f>+C11+D11</f>
        <v>62417.130000000005</v>
      </c>
      <c r="H11" s="38">
        <f>G11*24.2%</f>
        <v>15104.945460000001</v>
      </c>
      <c r="I11" s="38">
        <f>G11*7.1%*80%</f>
        <v>3545.2929839999997</v>
      </c>
      <c r="J11" s="38">
        <f>G11*8.5%</f>
        <v>5305.4560500000007</v>
      </c>
      <c r="K11" s="39">
        <f>+ROUND(+G11+H11+I11+J11,2)</f>
        <v>86372.82</v>
      </c>
      <c r="L11" s="76">
        <v>3</v>
      </c>
      <c r="M11" s="76"/>
      <c r="N11" s="78">
        <f>+ROUND(+(L11+M11)*K11,2)</f>
        <v>259118.46</v>
      </c>
    </row>
    <row r="12" spans="1:18" ht="18" customHeight="1" x14ac:dyDescent="0.25">
      <c r="A12" s="301"/>
      <c r="B12" s="34" t="s">
        <v>26</v>
      </c>
      <c r="C12" s="35">
        <v>47015.77</v>
      </c>
      <c r="D12" s="36">
        <v>1809.86</v>
      </c>
      <c r="E12" s="43"/>
      <c r="F12" s="18"/>
      <c r="G12" s="37">
        <f>+C12+D12</f>
        <v>48825.63</v>
      </c>
      <c r="H12" s="38">
        <f>G12*24.2%</f>
        <v>11815.802459999999</v>
      </c>
      <c r="I12" s="38">
        <f>G12*7.1%*80%</f>
        <v>2773.2957839999999</v>
      </c>
      <c r="J12" s="38">
        <f>G12*8.5%</f>
        <v>4150.1785499999996</v>
      </c>
      <c r="K12" s="39">
        <f>+ROUND(+G12+H12+I12+J12,2)</f>
        <v>67564.91</v>
      </c>
      <c r="L12" s="76">
        <v>9</v>
      </c>
      <c r="M12" s="76">
        <v>2</v>
      </c>
      <c r="N12" s="78">
        <f>+ROUND(+(L12+M12)*K12,2)</f>
        <v>743214.01</v>
      </c>
      <c r="O12" s="79"/>
      <c r="Q12" s="9"/>
    </row>
    <row r="13" spans="1:18" ht="18" customHeight="1" x14ac:dyDescent="0.25">
      <c r="A13" s="322"/>
      <c r="B13" s="29"/>
      <c r="C13" s="31"/>
      <c r="D13" s="31"/>
      <c r="E13" s="31"/>
      <c r="F13" s="31"/>
      <c r="G13" s="31"/>
      <c r="H13" s="31"/>
      <c r="I13" s="31"/>
      <c r="J13" s="31"/>
      <c r="K13" s="31"/>
      <c r="L13" s="29"/>
      <c r="M13" s="29"/>
      <c r="N13" s="29"/>
      <c r="O13" s="79"/>
      <c r="Q13" s="9"/>
    </row>
    <row r="14" spans="1:18" ht="93" customHeight="1" x14ac:dyDescent="0.25">
      <c r="A14" s="301" t="s">
        <v>27</v>
      </c>
      <c r="B14" s="44"/>
      <c r="C14" s="16" t="s">
        <v>28</v>
      </c>
      <c r="D14" s="16" t="s">
        <v>22</v>
      </c>
      <c r="E14" s="16" t="s">
        <v>29</v>
      </c>
      <c r="F14" s="16" t="s">
        <v>30</v>
      </c>
      <c r="G14" s="16" t="s">
        <v>31</v>
      </c>
      <c r="H14" s="16" t="s">
        <v>32</v>
      </c>
      <c r="I14" s="16"/>
      <c r="J14" s="16"/>
      <c r="K14" s="71" t="s">
        <v>52</v>
      </c>
      <c r="L14" s="72" t="s">
        <v>49</v>
      </c>
      <c r="M14" s="72" t="s">
        <v>53</v>
      </c>
      <c r="N14" s="73" t="s">
        <v>51</v>
      </c>
      <c r="P14" s="79"/>
      <c r="Q14" s="9"/>
      <c r="R14" s="9"/>
    </row>
    <row r="15" spans="1:18" ht="15.75" customHeight="1" x14ac:dyDescent="0.25">
      <c r="A15" s="301"/>
      <c r="B15" s="16" t="s">
        <v>197</v>
      </c>
      <c r="C15" s="45">
        <v>35000</v>
      </c>
      <c r="D15" s="45">
        <v>1347.32</v>
      </c>
      <c r="E15" s="45"/>
      <c r="F15" s="45"/>
      <c r="G15" s="45">
        <f>+C15+D15+E15+F15</f>
        <v>36347.32</v>
      </c>
      <c r="H15" s="45">
        <f>+(C15+D15+E15)*38.38%+(F15*32.7%)</f>
        <v>13950.101416000001</v>
      </c>
      <c r="I15" s="46"/>
      <c r="J15" s="45"/>
      <c r="K15" s="39">
        <f>+ROUND(+G15+H15+I15+J15,2)</f>
        <v>50297.42</v>
      </c>
      <c r="L15" s="47"/>
      <c r="M15" s="41"/>
      <c r="N15" s="78">
        <f>+ROUND(+(L15+M15)*K15,2)</f>
        <v>0</v>
      </c>
      <c r="P15" s="79"/>
      <c r="Q15" s="9"/>
      <c r="R15" s="9"/>
    </row>
    <row r="16" spans="1:18" ht="14.25" customHeight="1" x14ac:dyDescent="0.25">
      <c r="A16" s="301"/>
      <c r="B16" s="30"/>
      <c r="C16" s="31"/>
      <c r="D16" s="31"/>
      <c r="E16" s="31"/>
      <c r="F16" s="31"/>
      <c r="G16" s="31"/>
      <c r="H16" s="31"/>
      <c r="I16" s="31"/>
      <c r="J16" s="31"/>
      <c r="K16" s="31"/>
      <c r="L16" s="31"/>
      <c r="M16" s="31"/>
      <c r="N16" s="31"/>
      <c r="P16" s="79"/>
      <c r="Q16" s="9"/>
      <c r="R16" s="9"/>
    </row>
    <row r="17" spans="1:17" ht="88.5" customHeight="1" x14ac:dyDescent="0.25">
      <c r="A17" s="301"/>
      <c r="B17" s="44"/>
      <c r="C17" s="16" t="s">
        <v>33</v>
      </c>
      <c r="D17" s="16" t="s">
        <v>34</v>
      </c>
      <c r="E17" s="16" t="s">
        <v>54</v>
      </c>
      <c r="F17" s="16" t="s">
        <v>35</v>
      </c>
      <c r="G17" s="16" t="s">
        <v>36</v>
      </c>
      <c r="H17" s="16" t="s">
        <v>60</v>
      </c>
      <c r="I17" s="16" t="s">
        <v>198</v>
      </c>
      <c r="J17" s="16" t="s">
        <v>65</v>
      </c>
      <c r="K17" s="71" t="s">
        <v>55</v>
      </c>
      <c r="L17" s="72" t="s">
        <v>49</v>
      </c>
      <c r="M17" s="72" t="s">
        <v>50</v>
      </c>
      <c r="N17" s="73" t="s">
        <v>51</v>
      </c>
      <c r="O17" s="79"/>
      <c r="P17" s="9"/>
      <c r="Q17" s="9"/>
    </row>
    <row r="18" spans="1:17" ht="15.75" customHeight="1" x14ac:dyDescent="0.25">
      <c r="A18" s="301"/>
      <c r="B18" s="43" t="s">
        <v>37</v>
      </c>
      <c r="C18" s="35">
        <v>23501.93</v>
      </c>
      <c r="D18" s="36">
        <v>904.56</v>
      </c>
      <c r="E18" s="36"/>
      <c r="F18" s="48">
        <f>+ROUND((C18+D18+E18)/12,2)</f>
        <v>2033.87</v>
      </c>
      <c r="G18" s="36">
        <f>+F18+D18+C18+E18</f>
        <v>26440.36</v>
      </c>
      <c r="H18" s="45">
        <f>G18*24.2%</f>
        <v>6398.5671199999997</v>
      </c>
      <c r="I18" s="45">
        <f>G18*7.1%*80%</f>
        <v>1501.8124479999999</v>
      </c>
      <c r="J18" s="45">
        <f>G18*8.5%</f>
        <v>2247.4306000000001</v>
      </c>
      <c r="K18" s="39">
        <f>+ROUND(+G18+H18+I18+J18,2)</f>
        <v>36588.17</v>
      </c>
      <c r="L18" s="76">
        <v>2100</v>
      </c>
      <c r="M18" s="76">
        <v>0</v>
      </c>
      <c r="N18" s="78">
        <f>+ROUND(+(L18+M18)*K18,2)</f>
        <v>76835157</v>
      </c>
    </row>
    <row r="19" spans="1:17" x14ac:dyDescent="0.25">
      <c r="A19" s="301"/>
      <c r="B19" s="50"/>
      <c r="C19" s="51"/>
      <c r="D19" s="52"/>
      <c r="E19" s="52"/>
      <c r="F19" s="51"/>
      <c r="G19" s="51"/>
      <c r="H19" s="51"/>
      <c r="I19" s="51"/>
      <c r="J19" s="51"/>
      <c r="K19" s="51"/>
      <c r="L19" s="80"/>
      <c r="M19" s="80"/>
      <c r="N19" s="81"/>
    </row>
    <row r="20" spans="1:17" ht="15" customHeight="1" x14ac:dyDescent="0.25">
      <c r="A20" s="301"/>
      <c r="B20" s="43" t="s">
        <v>38</v>
      </c>
      <c r="C20" s="35">
        <v>19351.97</v>
      </c>
      <c r="D20" s="36">
        <v>744.72</v>
      </c>
      <c r="E20" s="36"/>
      <c r="F20" s="48">
        <f>+ROUND((C20+D20+E20)/12,2)</f>
        <v>1674.72</v>
      </c>
      <c r="G20" s="36">
        <f>+F20+D20+C20+E20</f>
        <v>21771.41</v>
      </c>
      <c r="H20" s="45">
        <f>G20*24.2%</f>
        <v>5268.6812199999995</v>
      </c>
      <c r="I20" s="45">
        <f>G20*7.1%*80%</f>
        <v>1236.616088</v>
      </c>
      <c r="J20" s="45">
        <f>G20*8.5%</f>
        <v>1850.5698500000001</v>
      </c>
      <c r="K20" s="39">
        <f>+ROUND(+G20+H20+I20+J20,2)</f>
        <v>30127.279999999999</v>
      </c>
      <c r="L20" s="76">
        <v>817</v>
      </c>
      <c r="M20" s="76">
        <v>0</v>
      </c>
      <c r="N20" s="78">
        <f>+ROUND(+(L20+M20)*K20,2)</f>
        <v>24613987.760000002</v>
      </c>
      <c r="Q20" s="55"/>
    </row>
    <row r="21" spans="1:17" ht="15" customHeight="1" x14ac:dyDescent="0.25">
      <c r="A21" s="301"/>
      <c r="B21" s="56"/>
      <c r="C21" s="57"/>
      <c r="D21" s="52"/>
      <c r="E21" s="52"/>
      <c r="F21" s="52"/>
      <c r="G21" s="51"/>
      <c r="H21" s="52"/>
      <c r="I21" s="52"/>
      <c r="J21" s="52"/>
      <c r="K21" s="52"/>
      <c r="L21" s="82"/>
      <c r="M21" s="82"/>
      <c r="N21" s="83"/>
      <c r="Q21" s="55"/>
    </row>
    <row r="22" spans="1:17" x14ac:dyDescent="0.25">
      <c r="A22" s="301"/>
      <c r="B22" s="43" t="s">
        <v>39</v>
      </c>
      <c r="C22" s="35">
        <v>18390.84</v>
      </c>
      <c r="D22" s="36">
        <v>707.76</v>
      </c>
      <c r="E22" s="36"/>
      <c r="F22" s="48">
        <f>+ROUND((C22+D22+E22)/12,2)</f>
        <v>1591.55</v>
      </c>
      <c r="G22" s="36">
        <f>+F22+D22+C22+E22</f>
        <v>20690.150000000001</v>
      </c>
      <c r="H22" s="45">
        <f>G22*24.2%</f>
        <v>5007.0163000000002</v>
      </c>
      <c r="I22" s="45">
        <f>G22*7.1%*80%</f>
        <v>1175.2005200000001</v>
      </c>
      <c r="J22" s="45">
        <f>G22*8.5%</f>
        <v>1758.6627500000002</v>
      </c>
      <c r="K22" s="39">
        <f>+ROUND(+G22+H22+I22+J22,2)</f>
        <v>28631.03</v>
      </c>
      <c r="L22" s="76">
        <v>30</v>
      </c>
      <c r="M22" s="76">
        <v>0</v>
      </c>
      <c r="N22" s="78">
        <f>+ROUND(+(L22+M22)*K22,2)</f>
        <v>858930.9</v>
      </c>
    </row>
    <row r="23" spans="1:17" x14ac:dyDescent="0.25">
      <c r="A23" s="301"/>
      <c r="B23" s="50"/>
      <c r="C23" s="51"/>
      <c r="D23" s="52"/>
      <c r="E23" s="52"/>
      <c r="F23" s="51"/>
      <c r="G23" s="51"/>
      <c r="H23" s="52"/>
      <c r="I23" s="52"/>
      <c r="J23" s="52"/>
      <c r="K23" s="52"/>
      <c r="L23" s="82"/>
      <c r="M23" s="82"/>
      <c r="N23" s="83"/>
    </row>
    <row r="24" spans="1:17" ht="38.25" customHeight="1" x14ac:dyDescent="0.3">
      <c r="D24" s="2"/>
      <c r="E24" s="2"/>
      <c r="J24" s="2"/>
      <c r="K24" s="226" t="s">
        <v>40</v>
      </c>
      <c r="L24" s="76">
        <f>+SUM(L7:L22)</f>
        <v>3002</v>
      </c>
      <c r="M24" s="76">
        <f>+SUM(M7:M22)</f>
        <v>2</v>
      </c>
      <c r="N24" s="78">
        <f>+SUM(N7:N22)</f>
        <v>105880162.49000001</v>
      </c>
    </row>
    <row r="25" spans="1:17" ht="18" customHeight="1" x14ac:dyDescent="0.25">
      <c r="D25" s="2"/>
      <c r="E25" s="2"/>
      <c r="J25" s="2"/>
      <c r="K25" s="55"/>
      <c r="L25" s="85"/>
      <c r="M25" s="85"/>
      <c r="N25" s="86"/>
    </row>
    <row r="26" spans="1:17" ht="15" customHeight="1" x14ac:dyDescent="0.25">
      <c r="B26" s="288" t="s">
        <v>41</v>
      </c>
      <c r="C26" s="288"/>
      <c r="D26" s="288"/>
      <c r="E26" s="288"/>
      <c r="F26" s="288"/>
      <c r="G26" s="288"/>
      <c r="H26" s="288"/>
      <c r="I26" s="288"/>
      <c r="J26" s="288"/>
      <c r="K26" s="288"/>
      <c r="L26" s="288"/>
      <c r="M26" s="288"/>
      <c r="N26" s="288"/>
      <c r="O26" s="87"/>
      <c r="P26" s="87"/>
    </row>
    <row r="27" spans="1:17" ht="20.25" customHeight="1" x14ac:dyDescent="0.25">
      <c r="B27" s="285" t="s">
        <v>56</v>
      </c>
      <c r="C27" s="285"/>
      <c r="D27" s="285"/>
      <c r="E27" s="285"/>
      <c r="F27" s="285"/>
      <c r="G27" s="285"/>
      <c r="H27" s="285"/>
      <c r="I27" s="285"/>
      <c r="J27" s="285"/>
      <c r="K27" s="285"/>
      <c r="L27" s="285"/>
      <c r="M27" s="285"/>
      <c r="N27" s="285"/>
      <c r="O27" s="64"/>
      <c r="P27" s="64"/>
    </row>
    <row r="28" spans="1:17" ht="20.25" customHeight="1" x14ac:dyDescent="0.25">
      <c r="B28" s="286" t="s">
        <v>57</v>
      </c>
      <c r="C28" s="286"/>
      <c r="D28" s="286"/>
      <c r="E28" s="286"/>
      <c r="F28" s="286"/>
      <c r="G28" s="286"/>
      <c r="H28" s="286"/>
      <c r="I28" s="286"/>
      <c r="J28" s="286"/>
      <c r="K28" s="286"/>
      <c r="L28" s="286"/>
      <c r="M28" s="286"/>
      <c r="N28" s="286"/>
      <c r="O28" s="88"/>
      <c r="P28" s="88"/>
    </row>
    <row r="29" spans="1:17" ht="15" customHeight="1" x14ac:dyDescent="0.25">
      <c r="F29" s="89"/>
      <c r="G29" s="89"/>
      <c r="H29" s="89"/>
      <c r="I29" s="89"/>
      <c r="J29" s="89"/>
      <c r="K29" s="89"/>
      <c r="L29" s="89"/>
      <c r="M29" s="90"/>
      <c r="N29" s="90"/>
    </row>
    <row r="30" spans="1:17" x14ac:dyDescent="0.25">
      <c r="M30" s="79"/>
      <c r="N30" s="79"/>
    </row>
    <row r="31" spans="1:17" x14ac:dyDescent="0.25">
      <c r="H31" s="9"/>
      <c r="M31" s="55"/>
      <c r="N31" s="91"/>
    </row>
    <row r="32" spans="1:17" x14ac:dyDescent="0.25">
      <c r="M32" s="55"/>
      <c r="N32" s="91"/>
    </row>
  </sheetData>
  <mergeCells count="13">
    <mergeCell ref="B27:N27"/>
    <mergeCell ref="B28:N28"/>
    <mergeCell ref="A5:N5"/>
    <mergeCell ref="A6:A8"/>
    <mergeCell ref="A10:A12"/>
    <mergeCell ref="A14:A23"/>
    <mergeCell ref="B26:N26"/>
    <mergeCell ref="A1:C1"/>
    <mergeCell ref="I1:L1"/>
    <mergeCell ref="A2:C2"/>
    <mergeCell ref="I2:L3"/>
    <mergeCell ref="A3:C3"/>
    <mergeCell ref="D3:E3"/>
  </mergeCells>
  <hyperlinks>
    <hyperlink ref="D3" r:id="rId1" xr:uid="{00000000-0004-0000-0100-000000000000}"/>
  </hyperlinks>
  <pageMargins left="0.45" right="0.2" top="0.48" bottom="0.24" header="0.38" footer="0.34"/>
  <pageSetup paperSize="9" scale="58" orientation="landscape"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FFC000"/>
    <pageSetUpPr fitToPage="1"/>
  </sheetPr>
  <dimension ref="A1:AMJ26"/>
  <sheetViews>
    <sheetView showGridLines="0" zoomScale="80" zoomScaleNormal="80" workbookViewId="0">
      <selection activeCell="A6" sqref="A6:A20"/>
    </sheetView>
  </sheetViews>
  <sheetFormatPr defaultColWidth="8.5703125" defaultRowHeight="15.75" x14ac:dyDescent="0.25"/>
  <cols>
    <col min="1" max="1" width="18.7109375" style="1" customWidth="1"/>
    <col min="2" max="2" width="13.28515625" style="1" customWidth="1"/>
    <col min="3" max="3" width="16.28515625" style="1" customWidth="1"/>
    <col min="4" max="4" width="21.7109375" style="1" customWidth="1"/>
    <col min="5" max="5" width="14.42578125" style="1" customWidth="1"/>
    <col min="6" max="6" width="14.28515625" style="1" customWidth="1"/>
    <col min="7" max="7" width="12.7109375" style="1" customWidth="1"/>
    <col min="8" max="8" width="17.28515625" style="1" customWidth="1"/>
    <col min="9" max="9" width="14.28515625" style="1" customWidth="1"/>
    <col min="10" max="10" width="14.7109375" style="1" customWidth="1"/>
    <col min="11" max="11" width="24.7109375" style="1" customWidth="1"/>
    <col min="12" max="12" width="18.42578125" style="1" customWidth="1"/>
    <col min="13" max="13" width="17.7109375" style="1" customWidth="1"/>
    <col min="14" max="14" width="17.85546875" style="1" customWidth="1"/>
    <col min="15" max="15" width="12" style="1" customWidth="1"/>
    <col min="16" max="16" width="8.5703125" style="1"/>
    <col min="17" max="17" width="12" style="1" customWidth="1"/>
    <col min="18" max="18" width="11.42578125" style="1" customWidth="1"/>
    <col min="19" max="20" width="12" style="1" customWidth="1"/>
    <col min="21" max="256" width="8.5703125" style="1"/>
    <col min="257" max="257" width="13.28515625" style="1" customWidth="1"/>
    <col min="258" max="258" width="16.28515625" style="1" customWidth="1"/>
    <col min="259" max="259" width="15.28515625" style="1" customWidth="1"/>
    <col min="260" max="260" width="14.42578125" style="1" customWidth="1"/>
    <col min="261" max="261" width="14.28515625" style="1" customWidth="1"/>
    <col min="262" max="262" width="12.7109375" style="1" customWidth="1"/>
    <col min="263" max="263" width="17.28515625" style="1" customWidth="1"/>
    <col min="264" max="264" width="14.28515625" style="1" customWidth="1"/>
    <col min="265" max="265" width="11.7109375" style="1" customWidth="1"/>
    <col min="266" max="266" width="12.7109375" style="1" customWidth="1"/>
    <col min="267" max="267" width="18.42578125" style="1" customWidth="1"/>
    <col min="268" max="268" width="12.5703125" style="1" customWidth="1"/>
    <col min="269" max="270" width="17.5703125" style="1" customWidth="1"/>
    <col min="271" max="271" width="12" style="1" customWidth="1"/>
    <col min="272" max="272" width="8.5703125" style="1"/>
    <col min="273" max="273" width="12" style="1" customWidth="1"/>
    <col min="274" max="274" width="11.42578125" style="1" customWidth="1"/>
    <col min="275" max="276" width="12" style="1" customWidth="1"/>
    <col min="277" max="512" width="8.5703125" style="1"/>
    <col min="513" max="513" width="13.28515625" style="1" customWidth="1"/>
    <col min="514" max="514" width="16.28515625" style="1" customWidth="1"/>
    <col min="515" max="515" width="15.28515625" style="1" customWidth="1"/>
    <col min="516" max="516" width="14.42578125" style="1" customWidth="1"/>
    <col min="517" max="517" width="14.28515625" style="1" customWidth="1"/>
    <col min="518" max="518" width="12.7109375" style="1" customWidth="1"/>
    <col min="519" max="519" width="17.28515625" style="1" customWidth="1"/>
    <col min="520" max="520" width="14.28515625" style="1" customWidth="1"/>
    <col min="521" max="521" width="11.7109375" style="1" customWidth="1"/>
    <col min="522" max="522" width="12.7109375" style="1" customWidth="1"/>
    <col min="523" max="523" width="18.42578125" style="1" customWidth="1"/>
    <col min="524" max="524" width="12.5703125" style="1" customWidth="1"/>
    <col min="525" max="526" width="17.5703125" style="1" customWidth="1"/>
    <col min="527" max="527" width="12" style="1" customWidth="1"/>
    <col min="528" max="528" width="8.5703125" style="1"/>
    <col min="529" max="529" width="12" style="1" customWidth="1"/>
    <col min="530" max="530" width="11.42578125" style="1" customWidth="1"/>
    <col min="531" max="532" width="12" style="1" customWidth="1"/>
    <col min="533" max="768" width="8.5703125" style="1"/>
    <col min="769" max="769" width="13.28515625" style="1" customWidth="1"/>
    <col min="770" max="770" width="16.28515625" style="1" customWidth="1"/>
    <col min="771" max="771" width="15.28515625" style="1" customWidth="1"/>
    <col min="772" max="772" width="14.42578125" style="1" customWidth="1"/>
    <col min="773" max="773" width="14.28515625" style="1" customWidth="1"/>
    <col min="774" max="774" width="12.7109375" style="1" customWidth="1"/>
    <col min="775" max="775" width="17.28515625" style="1" customWidth="1"/>
    <col min="776" max="776" width="14.28515625" style="1" customWidth="1"/>
    <col min="777" max="777" width="11.7109375" style="1" customWidth="1"/>
    <col min="778" max="778" width="12.7109375" style="1" customWidth="1"/>
    <col min="779" max="779" width="18.42578125" style="1" customWidth="1"/>
    <col min="780" max="780" width="12.5703125" style="1" customWidth="1"/>
    <col min="781" max="782" width="17.5703125" style="1" customWidth="1"/>
    <col min="783" max="783" width="12" style="1" customWidth="1"/>
    <col min="784" max="784" width="8.5703125" style="1"/>
    <col min="785" max="785" width="12" style="1" customWidth="1"/>
    <col min="786" max="786" width="11.42578125" style="1" customWidth="1"/>
    <col min="787" max="788" width="12" style="1" customWidth="1"/>
    <col min="789" max="1024" width="8.5703125" style="1"/>
  </cols>
  <sheetData>
    <row r="1" spans="1:17" ht="14.25" customHeight="1" x14ac:dyDescent="0.25">
      <c r="A1" s="280" t="s">
        <v>42</v>
      </c>
      <c r="B1" s="280"/>
      <c r="C1" s="280"/>
      <c r="D1" s="65" t="s">
        <v>43</v>
      </c>
      <c r="E1" s="66"/>
      <c r="F1" s="67"/>
      <c r="I1" s="281" t="s">
        <v>1</v>
      </c>
      <c r="J1" s="281"/>
      <c r="K1" s="281"/>
      <c r="L1" s="281"/>
      <c r="M1" s="6" t="s">
        <v>157</v>
      </c>
      <c r="N1" s="6"/>
    </row>
    <row r="2" spans="1:17" ht="12.75" customHeight="1" x14ac:dyDescent="0.25">
      <c r="A2" s="282" t="s">
        <v>44</v>
      </c>
      <c r="B2" s="282"/>
      <c r="C2" s="282"/>
      <c r="D2" s="68" t="s">
        <v>45</v>
      </c>
      <c r="E2" s="14"/>
      <c r="F2" s="69"/>
      <c r="H2" s="9"/>
      <c r="I2" s="281" t="s">
        <v>3</v>
      </c>
      <c r="J2" s="281"/>
      <c r="K2" s="281"/>
      <c r="L2" s="281"/>
    </row>
    <row r="3" spans="1:17" ht="19.5" customHeight="1" x14ac:dyDescent="0.25">
      <c r="A3" s="283" t="s">
        <v>46</v>
      </c>
      <c r="B3" s="283" t="s">
        <v>5</v>
      </c>
      <c r="C3" s="283" t="s">
        <v>5</v>
      </c>
      <c r="D3" s="284" t="s">
        <v>47</v>
      </c>
      <c r="E3" s="284"/>
      <c r="F3" s="70"/>
      <c r="I3" s="281"/>
      <c r="J3" s="281"/>
      <c r="K3" s="281"/>
      <c r="L3" s="281"/>
    </row>
    <row r="4" spans="1:17" ht="16.5" customHeight="1" x14ac:dyDescent="0.25">
      <c r="A4" s="13"/>
      <c r="B4" s="13"/>
      <c r="C4" s="13"/>
      <c r="D4" s="13"/>
      <c r="E4" s="13"/>
      <c r="F4" s="13"/>
      <c r="G4" s="13"/>
      <c r="H4" s="13"/>
      <c r="I4" s="13"/>
      <c r="J4" s="13"/>
      <c r="K4" s="13"/>
      <c r="L4" s="13"/>
      <c r="M4" s="15"/>
      <c r="N4" s="15"/>
    </row>
    <row r="5" spans="1:17" ht="19.5" customHeight="1" x14ac:dyDescent="0.25">
      <c r="A5" s="289" t="s">
        <v>200</v>
      </c>
      <c r="B5" s="289"/>
      <c r="C5" s="289"/>
      <c r="D5" s="289"/>
      <c r="E5" s="289"/>
      <c r="F5" s="289"/>
      <c r="G5" s="289"/>
      <c r="H5" s="289"/>
      <c r="I5" s="289"/>
      <c r="J5" s="289"/>
      <c r="K5" s="289"/>
      <c r="L5" s="289"/>
      <c r="M5" s="289"/>
      <c r="N5" s="63"/>
    </row>
    <row r="6" spans="1:17" ht="100.5" customHeight="1" x14ac:dyDescent="0.25">
      <c r="A6" s="301" t="s">
        <v>6</v>
      </c>
      <c r="B6" s="16" t="s">
        <v>7</v>
      </c>
      <c r="C6" s="16" t="s">
        <v>8</v>
      </c>
      <c r="D6" s="16" t="s">
        <v>9</v>
      </c>
      <c r="E6" s="17" t="s">
        <v>10</v>
      </c>
      <c r="F6" s="18"/>
      <c r="G6" s="16" t="s">
        <v>11</v>
      </c>
      <c r="H6" s="19" t="s">
        <v>12</v>
      </c>
      <c r="I6" s="19" t="s">
        <v>13</v>
      </c>
      <c r="J6" s="19" t="s">
        <v>14</v>
      </c>
      <c r="K6" s="71" t="s">
        <v>15</v>
      </c>
      <c r="L6" s="73" t="s">
        <v>58</v>
      </c>
      <c r="M6" s="73" t="s">
        <v>59</v>
      </c>
      <c r="N6" s="63"/>
    </row>
    <row r="7" spans="1:17" ht="31.5" customHeight="1" x14ac:dyDescent="0.25">
      <c r="A7" s="301"/>
      <c r="B7" s="22" t="s">
        <v>18</v>
      </c>
      <c r="C7" s="229">
        <v>42199.62</v>
      </c>
      <c r="D7" s="229">
        <v>12155.3</v>
      </c>
      <c r="E7" s="228">
        <f>+(C7+D7)/12</f>
        <v>4529.5766666666668</v>
      </c>
      <c r="F7" s="18"/>
      <c r="G7" s="23">
        <f>+C7+D7+E7</f>
        <v>58884.496666666666</v>
      </c>
      <c r="H7" s="24">
        <f>+(C7+C7/12)*27.83%+(D7+D7/12)*24.2%</f>
        <v>15909.548249833335</v>
      </c>
      <c r="I7" s="24">
        <f>+G7*8.5%</f>
        <v>5005.182216666667</v>
      </c>
      <c r="J7" s="24">
        <f>+(C7+C7/12)*5.68%+(D7+D7/12)*3.41%</f>
        <v>3045.7203248333335</v>
      </c>
      <c r="K7" s="74">
        <f>+G7+H7+I7+J7</f>
        <v>82844.94745800001</v>
      </c>
      <c r="L7" s="28"/>
      <c r="M7" s="28"/>
      <c r="N7" s="63"/>
    </row>
    <row r="8" spans="1:17" ht="31.5" customHeight="1" x14ac:dyDescent="0.25">
      <c r="A8" s="301"/>
      <c r="B8" s="17" t="s">
        <v>19</v>
      </c>
      <c r="C8" s="229">
        <v>27822.22</v>
      </c>
      <c r="D8" s="229">
        <v>11128.51</v>
      </c>
      <c r="E8" s="228">
        <f>+(C8+D8)/12</f>
        <v>3245.8941666666669</v>
      </c>
      <c r="F8" s="18"/>
      <c r="G8" s="23">
        <f>+C8+D8+E8</f>
        <v>42196.624166666668</v>
      </c>
      <c r="H8" s="24">
        <f>+(C8+C8/12)*27.83%+(D8+D8/12)*24.2%</f>
        <v>11305.691849833333</v>
      </c>
      <c r="I8" s="24">
        <f>+G8*8.5%</f>
        <v>3586.713054166667</v>
      </c>
      <c r="J8" s="24">
        <f>+(C8+C8/12)*5.68%+(D8+D8/12)*3.41%</f>
        <v>2123.09964425</v>
      </c>
      <c r="K8" s="74">
        <f>+G8+H8+I8+J8</f>
        <v>59212.128714916675</v>
      </c>
      <c r="L8" s="28"/>
      <c r="M8" s="28"/>
      <c r="N8" s="63"/>
    </row>
    <row r="9" spans="1:17" ht="19.5" customHeight="1" x14ac:dyDescent="0.25">
      <c r="A9" s="322"/>
      <c r="B9" s="30"/>
      <c r="C9" s="31"/>
      <c r="D9" s="31"/>
      <c r="E9" s="31"/>
      <c r="F9" s="32"/>
      <c r="G9" s="31"/>
      <c r="H9" s="31"/>
      <c r="I9" s="31"/>
      <c r="J9" s="31"/>
      <c r="K9" s="31"/>
      <c r="L9" s="31"/>
      <c r="M9" s="31"/>
      <c r="N9" s="63"/>
    </row>
    <row r="10" spans="1:17" ht="66" customHeight="1" x14ac:dyDescent="0.25">
      <c r="A10" s="301" t="s">
        <v>20</v>
      </c>
      <c r="B10" s="16" t="s">
        <v>7</v>
      </c>
      <c r="C10" s="16" t="s">
        <v>21</v>
      </c>
      <c r="D10" s="16" t="s">
        <v>22</v>
      </c>
      <c r="E10" s="16"/>
      <c r="F10" s="16"/>
      <c r="G10" s="16" t="s">
        <v>11</v>
      </c>
      <c r="H10" s="16" t="s">
        <v>60</v>
      </c>
      <c r="I10" s="16" t="s">
        <v>61</v>
      </c>
      <c r="J10" s="16" t="s">
        <v>62</v>
      </c>
      <c r="K10" s="71" t="s">
        <v>15</v>
      </c>
      <c r="L10" s="73" t="s">
        <v>58</v>
      </c>
      <c r="M10" s="73" t="s">
        <v>59</v>
      </c>
    </row>
    <row r="11" spans="1:17" ht="18" customHeight="1" x14ac:dyDescent="0.25">
      <c r="A11" s="301"/>
      <c r="B11" s="34" t="s">
        <v>201</v>
      </c>
      <c r="C11" s="35">
        <v>60102.87</v>
      </c>
      <c r="D11" s="36">
        <v>2314.2600000000002</v>
      </c>
      <c r="E11" s="2"/>
      <c r="F11" s="18"/>
      <c r="G11" s="37">
        <f>+C11+D11</f>
        <v>62417.130000000005</v>
      </c>
      <c r="H11" s="38">
        <f>G11*24.2%</f>
        <v>15104.945460000001</v>
      </c>
      <c r="I11" s="38">
        <f>G11*7.1%*80%</f>
        <v>3545.2929839999997</v>
      </c>
      <c r="J11" s="38">
        <f>G11*8.5%</f>
        <v>5305.4560500000007</v>
      </c>
      <c r="K11" s="39">
        <f>+ROUND(+G11+H11+I11+J11,2)</f>
        <v>86372.82</v>
      </c>
      <c r="L11" s="76"/>
      <c r="M11" s="92">
        <f>+ROUND(K11*L11,2)</f>
        <v>0</v>
      </c>
    </row>
    <row r="12" spans="1:17" ht="18" customHeight="1" x14ac:dyDescent="0.25">
      <c r="A12" s="301"/>
      <c r="B12" s="34" t="s">
        <v>26</v>
      </c>
      <c r="C12" s="35">
        <v>47015.77</v>
      </c>
      <c r="D12" s="36">
        <v>1809.86</v>
      </c>
      <c r="E12" s="43"/>
      <c r="F12" s="18"/>
      <c r="G12" s="37">
        <f>+C12+D12</f>
        <v>48825.63</v>
      </c>
      <c r="H12" s="38">
        <f>G12*24.2%</f>
        <v>11815.802459999999</v>
      </c>
      <c r="I12" s="38">
        <f>G12*7.1%*80%</f>
        <v>2773.2957839999999</v>
      </c>
      <c r="J12" s="38">
        <f>G12*8.5%</f>
        <v>4150.1785499999996</v>
      </c>
      <c r="K12" s="39">
        <f>+ROUND(+G12+H12+I12+J12,2)</f>
        <v>67564.91</v>
      </c>
      <c r="L12" s="76">
        <v>2</v>
      </c>
      <c r="M12" s="92">
        <f>+ROUND(K12*L12,2)</f>
        <v>135129.82</v>
      </c>
      <c r="O12" s="79"/>
      <c r="Q12" s="9"/>
    </row>
    <row r="13" spans="1:17" ht="14.25" customHeight="1" x14ac:dyDescent="0.25">
      <c r="A13" s="322"/>
      <c r="B13" s="30"/>
      <c r="C13" s="93"/>
      <c r="D13" s="93"/>
      <c r="E13" s="93"/>
      <c r="F13" s="93"/>
      <c r="G13" s="93"/>
      <c r="H13" s="93"/>
      <c r="I13" s="93"/>
      <c r="J13" s="93"/>
      <c r="K13" s="93"/>
      <c r="L13" s="94"/>
      <c r="M13" s="93"/>
      <c r="O13" s="79"/>
      <c r="P13" s="9"/>
      <c r="Q13" s="9"/>
    </row>
    <row r="14" spans="1:17" ht="78" customHeight="1" x14ac:dyDescent="0.25">
      <c r="A14" s="301" t="s">
        <v>27</v>
      </c>
      <c r="B14" s="44"/>
      <c r="C14" s="16" t="s">
        <v>33</v>
      </c>
      <c r="D14" s="16" t="s">
        <v>34</v>
      </c>
      <c r="E14" s="16" t="s">
        <v>54</v>
      </c>
      <c r="F14" s="16" t="s">
        <v>35</v>
      </c>
      <c r="G14" s="16" t="s">
        <v>36</v>
      </c>
      <c r="H14" s="16" t="s">
        <v>60</v>
      </c>
      <c r="I14" s="16" t="s">
        <v>64</v>
      </c>
      <c r="J14" s="16" t="s">
        <v>65</v>
      </c>
      <c r="K14" s="71" t="s">
        <v>55</v>
      </c>
      <c r="L14" s="73" t="s">
        <v>58</v>
      </c>
      <c r="M14" s="73" t="s">
        <v>59</v>
      </c>
      <c r="Q14" s="9"/>
    </row>
    <row r="15" spans="1:17" ht="15.75" customHeight="1" x14ac:dyDescent="0.25">
      <c r="A15" s="301"/>
      <c r="B15" s="43" t="s">
        <v>37</v>
      </c>
      <c r="C15" s="95">
        <v>23501.93</v>
      </c>
      <c r="D15" s="41">
        <v>904.56</v>
      </c>
      <c r="E15" s="41"/>
      <c r="F15" s="48">
        <f>+ROUND((C15+D15+E15)/12,2)</f>
        <v>2033.87</v>
      </c>
      <c r="G15" s="41">
        <f>+F15+D15+C15+E15</f>
        <v>26440.36</v>
      </c>
      <c r="H15" s="96">
        <f>G15*24.2%</f>
        <v>6398.5671199999997</v>
      </c>
      <c r="I15" s="96">
        <f>G15*7.1%*80%</f>
        <v>1501.8124479999999</v>
      </c>
      <c r="J15" s="96">
        <f>G15*8.5%</f>
        <v>2247.4306000000001</v>
      </c>
      <c r="K15" s="39">
        <f>+ROUND(+G15+H15+I15+J15,2)</f>
        <v>36588.17</v>
      </c>
      <c r="L15" s="76">
        <f>75-1</f>
        <v>74</v>
      </c>
      <c r="M15" s="92">
        <f>+ROUND(K15*L15,2)</f>
        <v>2707524.58</v>
      </c>
    </row>
    <row r="16" spans="1:17" x14ac:dyDescent="0.25">
      <c r="A16" s="301"/>
      <c r="B16" s="50"/>
      <c r="C16" s="54"/>
      <c r="D16" s="59"/>
      <c r="E16" s="59"/>
      <c r="F16" s="54"/>
      <c r="G16" s="54"/>
      <c r="H16" s="54"/>
      <c r="I16" s="54"/>
      <c r="J16" s="54"/>
      <c r="K16" s="54"/>
      <c r="L16" s="54"/>
      <c r="M16" s="54"/>
    </row>
    <row r="17" spans="1:14" x14ac:dyDescent="0.25">
      <c r="A17" s="301"/>
      <c r="B17" s="43" t="s">
        <v>38</v>
      </c>
      <c r="C17" s="95">
        <v>19351.97</v>
      </c>
      <c r="D17" s="41">
        <v>744.72</v>
      </c>
      <c r="E17" s="41"/>
      <c r="F17" s="48">
        <f>+ROUND((C17+D17+E17)/12,2)</f>
        <v>1674.72</v>
      </c>
      <c r="G17" s="41">
        <f>+F17+D17+C17+E17</f>
        <v>21771.41</v>
      </c>
      <c r="H17" s="96">
        <f>G17*24.2%</f>
        <v>5268.6812199999995</v>
      </c>
      <c r="I17" s="96">
        <f>G17*7.1%*80%</f>
        <v>1236.616088</v>
      </c>
      <c r="J17" s="96">
        <f>G17*8.5%</f>
        <v>1850.5698500000001</v>
      </c>
      <c r="K17" s="39">
        <f>+ROUND(+G17+H17+I17+J17,2)</f>
        <v>30127.279999999999</v>
      </c>
      <c r="L17" s="76">
        <v>33</v>
      </c>
      <c r="M17" s="92">
        <f>+ROUND(K17*L17,2)</f>
        <v>994200.24</v>
      </c>
    </row>
    <row r="18" spans="1:14" x14ac:dyDescent="0.25">
      <c r="A18" s="301"/>
      <c r="B18" s="56"/>
      <c r="C18" s="59"/>
      <c r="D18" s="59"/>
      <c r="E18" s="59"/>
      <c r="F18" s="59"/>
      <c r="G18" s="54"/>
      <c r="H18" s="59"/>
      <c r="I18" s="59"/>
      <c r="J18" s="59"/>
      <c r="K18" s="59"/>
      <c r="L18" s="59"/>
      <c r="M18" s="59"/>
    </row>
    <row r="19" spans="1:14" x14ac:dyDescent="0.25">
      <c r="A19" s="301"/>
      <c r="B19" s="43" t="s">
        <v>39</v>
      </c>
      <c r="C19" s="95">
        <v>18390.84</v>
      </c>
      <c r="D19" s="41">
        <v>707.76</v>
      </c>
      <c r="E19" s="41"/>
      <c r="F19" s="48">
        <f>+ROUND((C19+D19+E19)/12,2)</f>
        <v>1591.55</v>
      </c>
      <c r="G19" s="41">
        <f>+F19+D19+C19+E19</f>
        <v>20690.150000000001</v>
      </c>
      <c r="H19" s="96">
        <f>G19*24.2%</f>
        <v>5007.0163000000002</v>
      </c>
      <c r="I19" s="96">
        <f>G19*7.1%*80%</f>
        <v>1175.2005200000001</v>
      </c>
      <c r="J19" s="96">
        <f>G19*8.5%</f>
        <v>1758.6627500000002</v>
      </c>
      <c r="K19" s="39">
        <f>+ROUND(+G19+H19+I19+J19,2)</f>
        <v>28631.03</v>
      </c>
      <c r="L19" s="76">
        <v>3</v>
      </c>
      <c r="M19" s="92">
        <f>+ROUND(K19*L19,2)</f>
        <v>85893.09</v>
      </c>
    </row>
    <row r="20" spans="1:14" x14ac:dyDescent="0.25">
      <c r="A20" s="301"/>
      <c r="B20" s="50"/>
      <c r="C20" s="97"/>
      <c r="D20" s="98"/>
      <c r="E20" s="98"/>
      <c r="F20" s="97"/>
      <c r="G20" s="97"/>
      <c r="H20" s="99"/>
      <c r="I20" s="99"/>
      <c r="J20" s="99"/>
      <c r="K20" s="99"/>
      <c r="L20" s="99"/>
      <c r="M20" s="99"/>
      <c r="N20" s="9"/>
    </row>
    <row r="21" spans="1:14" ht="26.25" customHeight="1" x14ac:dyDescent="0.25">
      <c r="B21" s="2"/>
      <c r="C21" s="100"/>
      <c r="D21" s="101"/>
      <c r="E21" s="101"/>
      <c r="F21" s="100"/>
      <c r="G21" s="79"/>
      <c r="H21" s="79"/>
      <c r="I21" s="102" t="s">
        <v>66</v>
      </c>
      <c r="J21" s="103" t="s">
        <v>67</v>
      </c>
      <c r="K21" s="104"/>
      <c r="L21" s="105">
        <f>+L11</f>
        <v>0</v>
      </c>
      <c r="M21" s="106">
        <f>+M11</f>
        <v>0</v>
      </c>
    </row>
    <row r="22" spans="1:14" ht="26.25" customHeight="1" x14ac:dyDescent="0.25">
      <c r="D22" s="2"/>
      <c r="E22" s="2"/>
      <c r="I22" s="102" t="s">
        <v>66</v>
      </c>
      <c r="J22" s="107" t="s">
        <v>68</v>
      </c>
      <c r="K22" s="18"/>
      <c r="L22" s="105">
        <f>+SUM(L12:L20)+L7+L8</f>
        <v>112</v>
      </c>
      <c r="M22" s="92">
        <f>+SUM(M12:M20)+M7+M8</f>
        <v>3922747.7299999995</v>
      </c>
    </row>
    <row r="23" spans="1:14" ht="38.25" customHeight="1" x14ac:dyDescent="0.3">
      <c r="J23" s="84" t="s">
        <v>69</v>
      </c>
      <c r="K23" s="108"/>
      <c r="L23" s="76">
        <f>+SUM(L7:L20)</f>
        <v>112</v>
      </c>
      <c r="M23" s="78">
        <f>+SUM(M7:M20)</f>
        <v>3922747.7299999995</v>
      </c>
    </row>
    <row r="24" spans="1:14" ht="18.75" customHeight="1" x14ac:dyDescent="0.25">
      <c r="K24" s="109"/>
      <c r="L24" s="109"/>
      <c r="M24" s="109"/>
    </row>
    <row r="26" spans="1:14" x14ac:dyDescent="0.25">
      <c r="A26" s="110"/>
    </row>
  </sheetData>
  <mergeCells count="10">
    <mergeCell ref="A5:M5"/>
    <mergeCell ref="A6:A8"/>
    <mergeCell ref="A10:A12"/>
    <mergeCell ref="A14:A20"/>
    <mergeCell ref="A1:C1"/>
    <mergeCell ref="I1:L1"/>
    <mergeCell ref="A2:C2"/>
    <mergeCell ref="I2:L3"/>
    <mergeCell ref="A3:C3"/>
    <mergeCell ref="D3:E3"/>
  </mergeCells>
  <hyperlinks>
    <hyperlink ref="D3" r:id="rId1" xr:uid="{00000000-0004-0000-0200-000000000000}"/>
  </hyperlinks>
  <pageMargins left="0.36" right="0.25" top="0.62013888888888902" bottom="0.47013888888888899" header="0.511811023622047" footer="0.511811023622047"/>
  <pageSetup paperSize="9" scale="62" orientation="landscape"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FFC000"/>
    <pageSetUpPr fitToPage="1"/>
  </sheetPr>
  <dimension ref="A1:AMJ24"/>
  <sheetViews>
    <sheetView showGridLines="0" zoomScale="80" zoomScaleNormal="80" workbookViewId="0">
      <selection activeCell="A6" sqref="A6:A20"/>
    </sheetView>
  </sheetViews>
  <sheetFormatPr defaultColWidth="8.5703125" defaultRowHeight="15.75" x14ac:dyDescent="0.25"/>
  <cols>
    <col min="1" max="1" width="24.7109375" style="1" customWidth="1"/>
    <col min="2" max="3" width="16.28515625" style="1" customWidth="1"/>
    <col min="4" max="4" width="21.5703125" style="1" customWidth="1"/>
    <col min="5" max="5" width="14.42578125" style="1" customWidth="1"/>
    <col min="6" max="6" width="14.28515625" style="1" customWidth="1"/>
    <col min="7" max="7" width="12.7109375" style="1" customWidth="1"/>
    <col min="8" max="8" width="18.7109375" style="1" customWidth="1"/>
    <col min="9" max="9" width="14.28515625" style="1" customWidth="1"/>
    <col min="10" max="10" width="14" style="1" customWidth="1"/>
    <col min="11" max="11" width="25.28515625" style="1" customWidth="1"/>
    <col min="12" max="12" width="16.28515625" style="1" customWidth="1"/>
    <col min="13" max="13" width="16.85546875" style="1" customWidth="1"/>
    <col min="14" max="14" width="12" style="1" customWidth="1"/>
    <col min="15" max="15" width="8.5703125" style="1"/>
    <col min="16" max="16" width="12" style="1" customWidth="1"/>
    <col min="17" max="17" width="11.42578125" style="1" customWidth="1"/>
    <col min="18" max="19" width="12" style="1" customWidth="1"/>
    <col min="20" max="256" width="8.5703125" style="1"/>
    <col min="257" max="257" width="13.28515625" style="1" customWidth="1"/>
    <col min="258" max="258" width="16.28515625" style="1" customWidth="1"/>
    <col min="259" max="259" width="15.28515625" style="1" customWidth="1"/>
    <col min="260" max="260" width="14.42578125" style="1" customWidth="1"/>
    <col min="261" max="261" width="14.28515625" style="1" customWidth="1"/>
    <col min="262" max="262" width="12.7109375" style="1" customWidth="1"/>
    <col min="263" max="263" width="18.7109375" style="1" customWidth="1"/>
    <col min="264" max="264" width="14.28515625" style="1" customWidth="1"/>
    <col min="265" max="265" width="11.7109375" style="1" customWidth="1"/>
    <col min="266" max="266" width="12.7109375" style="1" customWidth="1"/>
    <col min="267" max="267" width="16.28515625" style="1" customWidth="1"/>
    <col min="268" max="268" width="12.5703125" style="1" customWidth="1"/>
    <col min="269" max="269" width="17.5703125" style="1" customWidth="1"/>
    <col min="270" max="270" width="12" style="1" customWidth="1"/>
    <col min="271" max="271" width="8.5703125" style="1"/>
    <col min="272" max="272" width="12" style="1" customWidth="1"/>
    <col min="273" max="273" width="11.42578125" style="1" customWidth="1"/>
    <col min="274" max="275" width="12" style="1" customWidth="1"/>
    <col min="276" max="512" width="8.5703125" style="1"/>
    <col min="513" max="513" width="13.28515625" style="1" customWidth="1"/>
    <col min="514" max="514" width="16.28515625" style="1" customWidth="1"/>
    <col min="515" max="515" width="15.28515625" style="1" customWidth="1"/>
    <col min="516" max="516" width="14.42578125" style="1" customWidth="1"/>
    <col min="517" max="517" width="14.28515625" style="1" customWidth="1"/>
    <col min="518" max="518" width="12.7109375" style="1" customWidth="1"/>
    <col min="519" max="519" width="18.7109375" style="1" customWidth="1"/>
    <col min="520" max="520" width="14.28515625" style="1" customWidth="1"/>
    <col min="521" max="521" width="11.7109375" style="1" customWidth="1"/>
    <col min="522" max="522" width="12.7109375" style="1" customWidth="1"/>
    <col min="523" max="523" width="16.28515625" style="1" customWidth="1"/>
    <col min="524" max="524" width="12.5703125" style="1" customWidth="1"/>
    <col min="525" max="525" width="17.5703125" style="1" customWidth="1"/>
    <col min="526" max="526" width="12" style="1" customWidth="1"/>
    <col min="527" max="527" width="8.5703125" style="1"/>
    <col min="528" max="528" width="12" style="1" customWidth="1"/>
    <col min="529" max="529" width="11.42578125" style="1" customWidth="1"/>
    <col min="530" max="531" width="12" style="1" customWidth="1"/>
    <col min="532" max="768" width="8.5703125" style="1"/>
    <col min="769" max="769" width="13.28515625" style="1" customWidth="1"/>
    <col min="770" max="770" width="16.28515625" style="1" customWidth="1"/>
    <col min="771" max="771" width="15.28515625" style="1" customWidth="1"/>
    <col min="772" max="772" width="14.42578125" style="1" customWidth="1"/>
    <col min="773" max="773" width="14.28515625" style="1" customWidth="1"/>
    <col min="774" max="774" width="12.7109375" style="1" customWidth="1"/>
    <col min="775" max="775" width="18.7109375" style="1" customWidth="1"/>
    <col min="776" max="776" width="14.28515625" style="1" customWidth="1"/>
    <col min="777" max="777" width="11.7109375" style="1" customWidth="1"/>
    <col min="778" max="778" width="12.7109375" style="1" customWidth="1"/>
    <col min="779" max="779" width="16.28515625" style="1" customWidth="1"/>
    <col min="780" max="780" width="12.5703125" style="1" customWidth="1"/>
    <col min="781" max="781" width="17.5703125" style="1" customWidth="1"/>
    <col min="782" max="782" width="12" style="1" customWidth="1"/>
    <col min="783" max="783" width="8.5703125" style="1"/>
    <col min="784" max="784" width="12" style="1" customWidth="1"/>
    <col min="785" max="785" width="11.42578125" style="1" customWidth="1"/>
    <col min="786" max="787" width="12" style="1" customWidth="1"/>
    <col min="788" max="1024" width="8.5703125" style="1"/>
  </cols>
  <sheetData>
    <row r="1" spans="1:16" ht="14.25" customHeight="1" x14ac:dyDescent="0.25">
      <c r="A1" s="280" t="s">
        <v>42</v>
      </c>
      <c r="B1" s="280"/>
      <c r="C1" s="280"/>
      <c r="D1" s="65" t="s">
        <v>43</v>
      </c>
      <c r="E1" s="66"/>
      <c r="F1" s="67"/>
      <c r="I1" s="281" t="s">
        <v>1</v>
      </c>
      <c r="J1" s="281"/>
      <c r="K1" s="281"/>
      <c r="L1" s="281"/>
      <c r="M1" s="6" t="s">
        <v>158</v>
      </c>
    </row>
    <row r="2" spans="1:16" ht="12.75" customHeight="1" x14ac:dyDescent="0.25">
      <c r="A2" s="282" t="s">
        <v>44</v>
      </c>
      <c r="B2" s="282"/>
      <c r="C2" s="282"/>
      <c r="D2" s="68" t="s">
        <v>45</v>
      </c>
      <c r="E2" s="14"/>
      <c r="F2" s="69"/>
      <c r="H2" s="9"/>
      <c r="I2" s="281" t="s">
        <v>3</v>
      </c>
      <c r="J2" s="281"/>
      <c r="K2" s="281"/>
      <c r="L2" s="281"/>
    </row>
    <row r="3" spans="1:16" ht="19.5" customHeight="1" x14ac:dyDescent="0.25">
      <c r="A3" s="283" t="s">
        <v>46</v>
      </c>
      <c r="B3" s="283" t="s">
        <v>5</v>
      </c>
      <c r="C3" s="283" t="s">
        <v>5</v>
      </c>
      <c r="D3" s="284" t="s">
        <v>47</v>
      </c>
      <c r="E3" s="284"/>
      <c r="F3" s="70"/>
      <c r="I3" s="281"/>
      <c r="J3" s="281"/>
      <c r="K3" s="281"/>
      <c r="L3" s="281"/>
    </row>
    <row r="4" spans="1:16" ht="16.5" customHeight="1" x14ac:dyDescent="0.25">
      <c r="A4" s="13"/>
      <c r="B4" s="13"/>
      <c r="C4" s="13"/>
      <c r="D4" s="13"/>
      <c r="E4" s="13"/>
      <c r="F4" s="13"/>
      <c r="G4" s="13"/>
      <c r="H4" s="13"/>
      <c r="I4" s="13"/>
      <c r="J4" s="13"/>
      <c r="K4" s="13"/>
      <c r="L4" s="13"/>
      <c r="M4" s="15"/>
    </row>
    <row r="5" spans="1:16" ht="19.5" customHeight="1" x14ac:dyDescent="0.25">
      <c r="A5" s="287" t="s">
        <v>202</v>
      </c>
      <c r="B5" s="287"/>
      <c r="C5" s="287"/>
      <c r="D5" s="287"/>
      <c r="E5" s="287"/>
      <c r="F5" s="287"/>
      <c r="G5" s="287"/>
      <c r="H5" s="287"/>
      <c r="I5" s="287"/>
      <c r="J5" s="287"/>
      <c r="K5" s="287"/>
      <c r="L5" s="287"/>
      <c r="M5" s="287"/>
    </row>
    <row r="6" spans="1:16" ht="72" customHeight="1" x14ac:dyDescent="0.25">
      <c r="A6" s="301" t="s">
        <v>6</v>
      </c>
      <c r="B6" s="16" t="s">
        <v>7</v>
      </c>
      <c r="C6" s="16" t="s">
        <v>8</v>
      </c>
      <c r="D6" s="16" t="s">
        <v>9</v>
      </c>
      <c r="E6" s="17" t="s">
        <v>10</v>
      </c>
      <c r="F6" s="18"/>
      <c r="G6" s="16" t="s">
        <v>11</v>
      </c>
      <c r="H6" s="19" t="s">
        <v>12</v>
      </c>
      <c r="I6" s="19" t="s">
        <v>13</v>
      </c>
      <c r="J6" s="19" t="s">
        <v>14</v>
      </c>
      <c r="K6" s="71" t="s">
        <v>15</v>
      </c>
      <c r="L6" s="73" t="s">
        <v>58</v>
      </c>
      <c r="M6" s="73" t="s">
        <v>59</v>
      </c>
    </row>
    <row r="7" spans="1:16" ht="33" customHeight="1" x14ac:dyDescent="0.25">
      <c r="A7" s="301"/>
      <c r="B7" s="22" t="s">
        <v>18</v>
      </c>
      <c r="C7" s="229">
        <v>42199.62</v>
      </c>
      <c r="D7" s="229">
        <v>12155.3</v>
      </c>
      <c r="E7" s="228">
        <f>+(C7+D7)/12</f>
        <v>4529.5766666666668</v>
      </c>
      <c r="F7" s="18"/>
      <c r="G7" s="23">
        <f>+C7+D7+E7</f>
        <v>58884.496666666666</v>
      </c>
      <c r="H7" s="24">
        <f>+(C7+C7/12)*27.83%+(D7+D7/12)*24.2%</f>
        <v>15909.548249833335</v>
      </c>
      <c r="I7" s="24">
        <f>+G7*8.5%</f>
        <v>5005.182216666667</v>
      </c>
      <c r="J7" s="24">
        <f>+(C7+C7/12)*5.68%+(D7+D7/12)*3.41%</f>
        <v>3045.7203248333335</v>
      </c>
      <c r="K7" s="111">
        <f>+G7+H7+I7+J7</f>
        <v>82844.94745800001</v>
      </c>
      <c r="L7" s="28"/>
      <c r="M7" s="28"/>
    </row>
    <row r="8" spans="1:16" ht="33.75" customHeight="1" x14ac:dyDescent="0.25">
      <c r="A8" s="301"/>
      <c r="B8" s="17" t="s">
        <v>19</v>
      </c>
      <c r="C8" s="229">
        <v>27822.22</v>
      </c>
      <c r="D8" s="229">
        <v>11128.51</v>
      </c>
      <c r="E8" s="228">
        <f>+(C8+D8)/12</f>
        <v>3245.8941666666669</v>
      </c>
      <c r="F8" s="18"/>
      <c r="G8" s="23">
        <f>+C8+D8+E8</f>
        <v>42196.624166666668</v>
      </c>
      <c r="H8" s="24">
        <f>+(C8+C8/12)*27.83%+(D8+D8/12)*24.2%</f>
        <v>11305.691849833333</v>
      </c>
      <c r="I8" s="24">
        <f>+G8*8.5%</f>
        <v>3586.713054166667</v>
      </c>
      <c r="J8" s="24">
        <f>+(C8+C8/12)*5.68%+(D8+D8/12)*3.41%</f>
        <v>2123.09964425</v>
      </c>
      <c r="K8" s="111">
        <f>+G8+H8+I8+J8</f>
        <v>59212.128714916675</v>
      </c>
      <c r="L8" s="28"/>
      <c r="M8" s="28"/>
    </row>
    <row r="9" spans="1:16" ht="19.5" customHeight="1" x14ac:dyDescent="0.25">
      <c r="A9" s="322"/>
      <c r="B9" s="29"/>
      <c r="C9" s="29"/>
      <c r="D9" s="29"/>
      <c r="E9" s="29"/>
      <c r="F9" s="29"/>
      <c r="G9" s="29"/>
      <c r="H9" s="29"/>
      <c r="I9" s="29"/>
      <c r="J9" s="29"/>
      <c r="K9" s="29"/>
      <c r="L9" s="29"/>
      <c r="M9" s="29"/>
    </row>
    <row r="10" spans="1:16" ht="66" customHeight="1" x14ac:dyDescent="0.25">
      <c r="A10" s="301" t="s">
        <v>20</v>
      </c>
      <c r="B10" s="16" t="s">
        <v>7</v>
      </c>
      <c r="C10" s="16" t="s">
        <v>21</v>
      </c>
      <c r="D10" s="16" t="s">
        <v>22</v>
      </c>
      <c r="E10" s="16"/>
      <c r="F10" s="16"/>
      <c r="G10" s="16" t="s">
        <v>11</v>
      </c>
      <c r="H10" s="16" t="s">
        <v>60</v>
      </c>
      <c r="I10" s="16" t="s">
        <v>61</v>
      </c>
      <c r="J10" s="16" t="s">
        <v>62</v>
      </c>
      <c r="K10" s="71" t="s">
        <v>15</v>
      </c>
      <c r="L10" s="73" t="s">
        <v>58</v>
      </c>
      <c r="M10" s="73" t="s">
        <v>59</v>
      </c>
    </row>
    <row r="11" spans="1:16" ht="18" customHeight="1" x14ac:dyDescent="0.25">
      <c r="A11" s="301"/>
      <c r="B11" s="34" t="s">
        <v>63</v>
      </c>
      <c r="C11" s="35">
        <v>60102.87</v>
      </c>
      <c r="D11" s="36">
        <v>2314.2600000000002</v>
      </c>
      <c r="E11" s="2"/>
      <c r="F11" s="18"/>
      <c r="G11" s="37">
        <f>+C11+D11</f>
        <v>62417.130000000005</v>
      </c>
      <c r="H11" s="38">
        <f>G11*24.2%</f>
        <v>15104.945460000001</v>
      </c>
      <c r="I11" s="38">
        <f>G11*7.1%*80%</f>
        <v>3545.2929839999997</v>
      </c>
      <c r="J11" s="38">
        <f>G11*8.5%</f>
        <v>5305.4560500000007</v>
      </c>
      <c r="K11" s="39">
        <f>+ROUND(+G11+H11+I11+J11,2)</f>
        <v>86372.82</v>
      </c>
      <c r="L11" s="76"/>
      <c r="M11" s="92">
        <f>+ROUND(K11*L11,2)</f>
        <v>0</v>
      </c>
    </row>
    <row r="12" spans="1:16" ht="18" customHeight="1" x14ac:dyDescent="0.25">
      <c r="A12" s="301"/>
      <c r="B12" s="34" t="s">
        <v>26</v>
      </c>
      <c r="C12" s="35">
        <v>47015.77</v>
      </c>
      <c r="D12" s="36">
        <v>1809.86</v>
      </c>
      <c r="E12" s="43"/>
      <c r="F12" s="18"/>
      <c r="G12" s="37">
        <f>+C12+D12</f>
        <v>48825.63</v>
      </c>
      <c r="H12" s="38">
        <f>G12*24.2%</f>
        <v>11815.802459999999</v>
      </c>
      <c r="I12" s="38">
        <f>G12*7.1%*80%</f>
        <v>2773.2957839999999</v>
      </c>
      <c r="J12" s="38">
        <f>G12*8.5%</f>
        <v>4150.1785499999996</v>
      </c>
      <c r="K12" s="39">
        <f>+ROUND(+G12+H12+I12+J12,2)</f>
        <v>67564.91</v>
      </c>
      <c r="L12" s="76"/>
      <c r="M12" s="92">
        <f>+ROUND(K12*L12,2)</f>
        <v>0</v>
      </c>
      <c r="N12" s="79"/>
      <c r="P12" s="9"/>
    </row>
    <row r="13" spans="1:16" ht="14.25" customHeight="1" x14ac:dyDescent="0.25">
      <c r="A13" s="322"/>
      <c r="B13" s="30"/>
      <c r="C13" s="93"/>
      <c r="D13" s="93"/>
      <c r="E13" s="93"/>
      <c r="F13" s="93"/>
      <c r="G13" s="93"/>
      <c r="H13" s="93"/>
      <c r="I13" s="93"/>
      <c r="J13" s="93"/>
      <c r="K13" s="93"/>
      <c r="L13" s="94"/>
      <c r="M13" s="93"/>
      <c r="N13" s="79"/>
      <c r="O13" s="9"/>
      <c r="P13" s="9"/>
    </row>
    <row r="14" spans="1:16" ht="82.5" customHeight="1" x14ac:dyDescent="0.25">
      <c r="A14" s="301" t="s">
        <v>70</v>
      </c>
      <c r="B14" s="44"/>
      <c r="C14" s="16" t="s">
        <v>33</v>
      </c>
      <c r="D14" s="16" t="s">
        <v>34</v>
      </c>
      <c r="E14" s="16" t="s">
        <v>54</v>
      </c>
      <c r="F14" s="16" t="s">
        <v>35</v>
      </c>
      <c r="G14" s="16" t="s">
        <v>36</v>
      </c>
      <c r="H14" s="16" t="s">
        <v>60</v>
      </c>
      <c r="I14" s="16" t="s">
        <v>64</v>
      </c>
      <c r="J14" s="16" t="s">
        <v>65</v>
      </c>
      <c r="K14" s="71" t="s">
        <v>55</v>
      </c>
      <c r="L14" s="73" t="s">
        <v>58</v>
      </c>
      <c r="M14" s="73" t="s">
        <v>59</v>
      </c>
      <c r="P14" s="9"/>
    </row>
    <row r="15" spans="1:16" ht="15.75" customHeight="1" x14ac:dyDescent="0.25">
      <c r="A15" s="301"/>
      <c r="B15" s="43" t="s">
        <v>37</v>
      </c>
      <c r="C15" s="95">
        <v>23501.93</v>
      </c>
      <c r="D15" s="41">
        <v>904.56</v>
      </c>
      <c r="E15" s="41"/>
      <c r="F15" s="48">
        <f>+ROUND((C15+D15+E15)/12,2)</f>
        <v>2033.87</v>
      </c>
      <c r="G15" s="41">
        <f>+F15+D15+C15+E15</f>
        <v>26440.36</v>
      </c>
      <c r="H15" s="96">
        <f>G15*24.2%</f>
        <v>6398.5671199999997</v>
      </c>
      <c r="I15" s="96">
        <f>G15*7.1%*80%</f>
        <v>1501.8124479999999</v>
      </c>
      <c r="J15" s="96">
        <f>G15*8.5%</f>
        <v>2247.4306000000001</v>
      </c>
      <c r="K15" s="39">
        <f>+ROUND(+G15+H15+I15+J15,2)</f>
        <v>36588.17</v>
      </c>
      <c r="L15" s="76">
        <v>47</v>
      </c>
      <c r="M15" s="92">
        <f>+ROUND(K15*L15,2)</f>
        <v>1719643.99</v>
      </c>
    </row>
    <row r="16" spans="1:16" x14ac:dyDescent="0.25">
      <c r="A16" s="301"/>
      <c r="B16" s="50"/>
      <c r="C16" s="54"/>
      <c r="D16" s="59"/>
      <c r="E16" s="59"/>
      <c r="F16" s="54"/>
      <c r="G16" s="54"/>
      <c r="H16" s="54"/>
      <c r="I16" s="54"/>
      <c r="J16" s="54"/>
      <c r="K16" s="54"/>
      <c r="L16" s="54"/>
      <c r="M16" s="54"/>
    </row>
    <row r="17" spans="1:13" x14ac:dyDescent="0.25">
      <c r="A17" s="301"/>
      <c r="B17" s="43" t="s">
        <v>38</v>
      </c>
      <c r="C17" s="95">
        <v>19351.97</v>
      </c>
      <c r="D17" s="41">
        <v>744.72</v>
      </c>
      <c r="E17" s="41"/>
      <c r="F17" s="48">
        <f>+ROUND((C17+D17+E17)/12,2)</f>
        <v>1674.72</v>
      </c>
      <c r="G17" s="41">
        <f>+F17+D17+C17+E17</f>
        <v>21771.41</v>
      </c>
      <c r="H17" s="96">
        <f>G17*24.2%</f>
        <v>5268.6812199999995</v>
      </c>
      <c r="I17" s="96">
        <f>G17*7.1%*80%</f>
        <v>1236.616088</v>
      </c>
      <c r="J17" s="96">
        <f>G17*8.5%</f>
        <v>1850.5698500000001</v>
      </c>
      <c r="K17" s="39">
        <f>+ROUND(+G17+H17+I17+J17,2)</f>
        <v>30127.279999999999</v>
      </c>
      <c r="L17" s="76">
        <v>17</v>
      </c>
      <c r="M17" s="92">
        <f>+ROUND(K17*L17,2)</f>
        <v>512163.76</v>
      </c>
    </row>
    <row r="18" spans="1:13" x14ac:dyDescent="0.25">
      <c r="A18" s="301"/>
      <c r="B18" s="56"/>
      <c r="C18" s="59"/>
      <c r="D18" s="59"/>
      <c r="E18" s="59"/>
      <c r="F18" s="59"/>
      <c r="G18" s="54"/>
      <c r="H18" s="59"/>
      <c r="I18" s="59"/>
      <c r="J18" s="59"/>
      <c r="K18" s="59"/>
      <c r="L18" s="59"/>
      <c r="M18" s="59"/>
    </row>
    <row r="19" spans="1:13" x14ac:dyDescent="0.25">
      <c r="A19" s="301"/>
      <c r="B19" s="43" t="s">
        <v>39</v>
      </c>
      <c r="C19" s="95">
        <v>18390.84</v>
      </c>
      <c r="D19" s="41">
        <v>707.76</v>
      </c>
      <c r="E19" s="41"/>
      <c r="F19" s="48">
        <f>+ROUND((C19+D19+E19)/12,2)</f>
        <v>1591.55</v>
      </c>
      <c r="G19" s="41">
        <f>+F19+D19+C19+E19</f>
        <v>20690.150000000001</v>
      </c>
      <c r="H19" s="96">
        <f>G19*24.2%</f>
        <v>5007.0163000000002</v>
      </c>
      <c r="I19" s="96">
        <f>G19*7.1%*80%</f>
        <v>1175.2005200000001</v>
      </c>
      <c r="J19" s="96">
        <f>G19*8.5%</f>
        <v>1758.6627500000002</v>
      </c>
      <c r="K19" s="39">
        <f>+ROUND(+G19+H19+I19+J19,2)</f>
        <v>28631.03</v>
      </c>
      <c r="L19" s="76">
        <v>1</v>
      </c>
      <c r="M19" s="92">
        <f>+ROUND(K19*L19,2)</f>
        <v>28631.03</v>
      </c>
    </row>
    <row r="20" spans="1:13" x14ac:dyDescent="0.25">
      <c r="A20" s="301"/>
      <c r="B20" s="50"/>
      <c r="C20" s="97"/>
      <c r="D20" s="98"/>
      <c r="E20" s="98"/>
      <c r="F20" s="97"/>
      <c r="G20" s="97"/>
      <c r="H20" s="99"/>
      <c r="I20" s="99"/>
      <c r="J20" s="99"/>
      <c r="K20" s="99"/>
      <c r="L20" s="99"/>
      <c r="M20" s="99"/>
    </row>
    <row r="21" spans="1:13" ht="26.25" customHeight="1" x14ac:dyDescent="0.25">
      <c r="B21" s="2"/>
      <c r="C21" s="100"/>
      <c r="D21" s="101"/>
      <c r="E21" s="101"/>
      <c r="F21" s="100"/>
      <c r="G21" s="79"/>
      <c r="H21" s="79"/>
      <c r="I21" s="102" t="s">
        <v>66</v>
      </c>
      <c r="J21" s="103" t="s">
        <v>67</v>
      </c>
      <c r="K21" s="104"/>
      <c r="L21" s="105">
        <f>+L11</f>
        <v>0</v>
      </c>
      <c r="M21" s="106">
        <f>+M11</f>
        <v>0</v>
      </c>
    </row>
    <row r="22" spans="1:13" ht="27.75" customHeight="1" x14ac:dyDescent="0.25">
      <c r="D22" s="2"/>
      <c r="E22" s="2"/>
      <c r="I22" s="102" t="s">
        <v>66</v>
      </c>
      <c r="J22" s="107" t="s">
        <v>68</v>
      </c>
      <c r="K22" s="18"/>
      <c r="L22" s="105">
        <f>+SUM(L12:L20)+L7+L8</f>
        <v>65</v>
      </c>
      <c r="M22" s="92">
        <f>+SUM(M12:M20)+M7+M8</f>
        <v>2260438.7799999998</v>
      </c>
    </row>
    <row r="23" spans="1:13" ht="37.5" customHeight="1" x14ac:dyDescent="0.3">
      <c r="J23" s="84" t="s">
        <v>69</v>
      </c>
      <c r="K23" s="108"/>
      <c r="L23" s="76">
        <f>+SUM(L7:L20)</f>
        <v>65</v>
      </c>
      <c r="M23" s="78">
        <f>+SUM(M7:M20)</f>
        <v>2260438.7799999998</v>
      </c>
    </row>
    <row r="24" spans="1:13" ht="18.75" customHeight="1" x14ac:dyDescent="0.25"/>
  </sheetData>
  <mergeCells count="10">
    <mergeCell ref="A5:M5"/>
    <mergeCell ref="A6:A8"/>
    <mergeCell ref="A10:A12"/>
    <mergeCell ref="A14:A20"/>
    <mergeCell ref="A1:C1"/>
    <mergeCell ref="I1:L1"/>
    <mergeCell ref="A2:C2"/>
    <mergeCell ref="I2:L3"/>
    <mergeCell ref="A3:C3"/>
    <mergeCell ref="D3:E3"/>
  </mergeCells>
  <hyperlinks>
    <hyperlink ref="D3" r:id="rId1" xr:uid="{00000000-0004-0000-0300-000000000000}"/>
  </hyperlinks>
  <pageMargins left="0.45" right="0.47013888888888899" top="0.62013888888888902" bottom="0.47013888888888899" header="0.511811023622047" footer="0.511811023622047"/>
  <pageSetup paperSize="9" scale="65" orientation="landscape"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FFC000"/>
    <pageSetUpPr fitToPage="1"/>
  </sheetPr>
  <dimension ref="A1:AMJ24"/>
  <sheetViews>
    <sheetView showGridLines="0" zoomScale="80" zoomScaleNormal="80" workbookViewId="0">
      <selection activeCell="A6" sqref="A6:A20"/>
    </sheetView>
  </sheetViews>
  <sheetFormatPr defaultColWidth="8.5703125" defaultRowHeight="15.75" x14ac:dyDescent="0.25"/>
  <cols>
    <col min="1" max="1" width="22.7109375" style="1" customWidth="1"/>
    <col min="2" max="2" width="13.28515625" style="1" customWidth="1"/>
    <col min="3" max="3" width="16.28515625" style="1" customWidth="1"/>
    <col min="4" max="4" width="22" style="1" customWidth="1"/>
    <col min="5" max="5" width="14.42578125" style="1" customWidth="1"/>
    <col min="6" max="6" width="14.28515625" style="1" customWidth="1"/>
    <col min="7" max="7" width="16.42578125" style="1" customWidth="1"/>
    <col min="8" max="8" width="22" style="1" customWidth="1"/>
    <col min="9" max="9" width="13" style="1" customWidth="1"/>
    <col min="10" max="10" width="14.7109375" style="1" customWidth="1"/>
    <col min="11" max="11" width="24.85546875" style="1" customWidth="1"/>
    <col min="12" max="12" width="16.28515625" style="1" customWidth="1"/>
    <col min="13" max="13" width="17.7109375" style="1" customWidth="1"/>
    <col min="14" max="14" width="12" style="1" customWidth="1"/>
    <col min="15" max="15" width="8.5703125" style="1"/>
    <col min="16" max="16" width="12" style="1" customWidth="1"/>
    <col min="17" max="17" width="11.42578125" style="1" customWidth="1"/>
    <col min="18" max="19" width="12" style="1" customWidth="1"/>
    <col min="20" max="256" width="8.5703125" style="1"/>
    <col min="257" max="257" width="13.28515625" style="1" customWidth="1"/>
    <col min="258" max="258" width="16.28515625" style="1" customWidth="1"/>
    <col min="259" max="259" width="15.28515625" style="1" customWidth="1"/>
    <col min="260" max="260" width="14.42578125" style="1" customWidth="1"/>
    <col min="261" max="261" width="14.28515625" style="1" customWidth="1"/>
    <col min="262" max="262" width="12.7109375" style="1" customWidth="1"/>
    <col min="263" max="263" width="19" style="1" customWidth="1"/>
    <col min="264" max="264" width="13" style="1" customWidth="1"/>
    <col min="265" max="265" width="11.7109375" style="1" customWidth="1"/>
    <col min="266" max="266" width="12.7109375" style="1" customWidth="1"/>
    <col min="267" max="267" width="16.28515625" style="1" customWidth="1"/>
    <col min="268" max="268" width="12.5703125" style="1" customWidth="1"/>
    <col min="269" max="269" width="17.5703125" style="1" customWidth="1"/>
    <col min="270" max="270" width="12" style="1" customWidth="1"/>
    <col min="271" max="271" width="8.5703125" style="1"/>
    <col min="272" max="272" width="12" style="1" customWidth="1"/>
    <col min="273" max="273" width="11.42578125" style="1" customWidth="1"/>
    <col min="274" max="275" width="12" style="1" customWidth="1"/>
    <col min="276" max="512" width="8.5703125" style="1"/>
    <col min="513" max="513" width="13.28515625" style="1" customWidth="1"/>
    <col min="514" max="514" width="16.28515625" style="1" customWidth="1"/>
    <col min="515" max="515" width="15.28515625" style="1" customWidth="1"/>
    <col min="516" max="516" width="14.42578125" style="1" customWidth="1"/>
    <col min="517" max="517" width="14.28515625" style="1" customWidth="1"/>
    <col min="518" max="518" width="12.7109375" style="1" customWidth="1"/>
    <col min="519" max="519" width="19" style="1" customWidth="1"/>
    <col min="520" max="520" width="13" style="1" customWidth="1"/>
    <col min="521" max="521" width="11.7109375" style="1" customWidth="1"/>
    <col min="522" max="522" width="12.7109375" style="1" customWidth="1"/>
    <col min="523" max="523" width="16.28515625" style="1" customWidth="1"/>
    <col min="524" max="524" width="12.5703125" style="1" customWidth="1"/>
    <col min="525" max="525" width="17.5703125" style="1" customWidth="1"/>
    <col min="526" max="526" width="12" style="1" customWidth="1"/>
    <col min="527" max="527" width="8.5703125" style="1"/>
    <col min="528" max="528" width="12" style="1" customWidth="1"/>
    <col min="529" max="529" width="11.42578125" style="1" customWidth="1"/>
    <col min="530" max="531" width="12" style="1" customWidth="1"/>
    <col min="532" max="768" width="8.5703125" style="1"/>
    <col min="769" max="769" width="13.28515625" style="1" customWidth="1"/>
    <col min="770" max="770" width="16.28515625" style="1" customWidth="1"/>
    <col min="771" max="771" width="15.28515625" style="1" customWidth="1"/>
    <col min="772" max="772" width="14.42578125" style="1" customWidth="1"/>
    <col min="773" max="773" width="14.28515625" style="1" customWidth="1"/>
    <col min="774" max="774" width="12.7109375" style="1" customWidth="1"/>
    <col min="775" max="775" width="19" style="1" customWidth="1"/>
    <col min="776" max="776" width="13" style="1" customWidth="1"/>
    <col min="777" max="777" width="11.7109375" style="1" customWidth="1"/>
    <col min="778" max="778" width="12.7109375" style="1" customWidth="1"/>
    <col min="779" max="779" width="16.28515625" style="1" customWidth="1"/>
    <col min="780" max="780" width="12.5703125" style="1" customWidth="1"/>
    <col min="781" max="781" width="17.5703125" style="1" customWidth="1"/>
    <col min="782" max="782" width="12" style="1" customWidth="1"/>
    <col min="783" max="783" width="8.5703125" style="1"/>
    <col min="784" max="784" width="12" style="1" customWidth="1"/>
    <col min="785" max="785" width="11.42578125" style="1" customWidth="1"/>
    <col min="786" max="787" width="12" style="1" customWidth="1"/>
    <col min="788" max="1024" width="8.5703125" style="1"/>
  </cols>
  <sheetData>
    <row r="1" spans="1:16" ht="14.25" customHeight="1" x14ac:dyDescent="0.25">
      <c r="A1" s="274" t="s">
        <v>42</v>
      </c>
      <c r="B1" s="274"/>
      <c r="C1" s="274"/>
      <c r="D1" s="65" t="s">
        <v>43</v>
      </c>
      <c r="E1" s="66"/>
      <c r="F1" s="5"/>
      <c r="I1" s="275" t="s">
        <v>1</v>
      </c>
      <c r="J1" s="275"/>
      <c r="K1" s="275"/>
      <c r="L1" s="275"/>
      <c r="M1" s="6" t="s">
        <v>159</v>
      </c>
    </row>
    <row r="2" spans="1:16" ht="12.75" customHeight="1" x14ac:dyDescent="0.25">
      <c r="A2" s="277" t="s">
        <v>44</v>
      </c>
      <c r="B2" s="277"/>
      <c r="C2" s="277"/>
      <c r="D2" s="68" t="s">
        <v>45</v>
      </c>
      <c r="E2" s="14"/>
      <c r="F2" s="8"/>
      <c r="H2" s="9"/>
      <c r="I2" s="281" t="s">
        <v>3</v>
      </c>
      <c r="J2" s="281"/>
      <c r="K2" s="281"/>
      <c r="L2" s="281"/>
    </row>
    <row r="3" spans="1:16" ht="19.5" customHeight="1" x14ac:dyDescent="0.25">
      <c r="A3" s="279" t="s">
        <v>46</v>
      </c>
      <c r="B3" s="279" t="s">
        <v>5</v>
      </c>
      <c r="C3" s="279" t="s">
        <v>5</v>
      </c>
      <c r="D3" s="284" t="s">
        <v>47</v>
      </c>
      <c r="E3" s="284"/>
      <c r="F3" s="12"/>
      <c r="I3" s="281"/>
      <c r="J3" s="281"/>
      <c r="K3" s="281"/>
      <c r="L3" s="281"/>
    </row>
    <row r="4" spans="1:16" ht="16.5" customHeight="1" x14ac:dyDescent="0.25">
      <c r="A4" s="13"/>
      <c r="B4" s="13"/>
      <c r="C4" s="13"/>
      <c r="D4" s="13"/>
      <c r="E4" s="13"/>
      <c r="F4" s="13"/>
      <c r="G4" s="13"/>
      <c r="H4" s="13"/>
      <c r="I4" s="13"/>
      <c r="J4" s="13"/>
      <c r="K4" s="13"/>
      <c r="L4" s="13"/>
      <c r="M4" s="15"/>
    </row>
    <row r="5" spans="1:16" ht="19.5" customHeight="1" x14ac:dyDescent="0.25">
      <c r="A5" s="290" t="s">
        <v>203</v>
      </c>
      <c r="B5" s="290"/>
      <c r="C5" s="290"/>
      <c r="D5" s="290"/>
      <c r="E5" s="290"/>
      <c r="F5" s="290"/>
      <c r="G5" s="290"/>
      <c r="H5" s="290"/>
      <c r="I5" s="290"/>
      <c r="J5" s="290"/>
      <c r="K5" s="290"/>
      <c r="L5" s="290"/>
      <c r="M5" s="290"/>
    </row>
    <row r="6" spans="1:16" ht="90" customHeight="1" x14ac:dyDescent="0.25">
      <c r="A6" s="301" t="s">
        <v>6</v>
      </c>
      <c r="B6" s="16" t="s">
        <v>7</v>
      </c>
      <c r="C6" s="16" t="s">
        <v>8</v>
      </c>
      <c r="D6" s="16" t="s">
        <v>9</v>
      </c>
      <c r="E6" s="17" t="s">
        <v>10</v>
      </c>
      <c r="F6" s="18"/>
      <c r="G6" s="16" t="s">
        <v>11</v>
      </c>
      <c r="H6" s="19" t="s">
        <v>12</v>
      </c>
      <c r="I6" s="19" t="s">
        <v>13</v>
      </c>
      <c r="J6" s="19" t="s">
        <v>14</v>
      </c>
      <c r="K6" s="71" t="s">
        <v>15</v>
      </c>
      <c r="L6" s="73" t="s">
        <v>58</v>
      </c>
      <c r="M6" s="73" t="s">
        <v>59</v>
      </c>
    </row>
    <row r="7" spans="1:16" ht="36" customHeight="1" x14ac:dyDescent="0.25">
      <c r="A7" s="301"/>
      <c r="B7" s="22" t="s">
        <v>18</v>
      </c>
      <c r="C7" s="229">
        <v>42199.62</v>
      </c>
      <c r="D7" s="229">
        <v>12155.3</v>
      </c>
      <c r="E7" s="228">
        <f>+(C7+D7)/12</f>
        <v>4529.5766666666668</v>
      </c>
      <c r="F7" s="18"/>
      <c r="G7" s="23">
        <f>+C7+D7+E7</f>
        <v>58884.496666666666</v>
      </c>
      <c r="H7" s="24">
        <f>+(C7+C7/12)*27.83%+(D7+D7/12)*24.2%</f>
        <v>15909.548249833335</v>
      </c>
      <c r="I7" s="24">
        <f>+G7*8.5%</f>
        <v>5005.182216666667</v>
      </c>
      <c r="J7" s="24">
        <f>+(C7+C7/12)*5.68%+(D7+D7/12)*3.41%</f>
        <v>3045.7203248333335</v>
      </c>
      <c r="K7" s="111">
        <f>+G7+H7+I7+J7</f>
        <v>82844.94745800001</v>
      </c>
      <c r="L7" s="28"/>
      <c r="M7" s="28"/>
    </row>
    <row r="8" spans="1:16" ht="46.5" customHeight="1" x14ac:dyDescent="0.25">
      <c r="A8" s="301"/>
      <c r="B8" s="17" t="s">
        <v>19</v>
      </c>
      <c r="C8" s="229">
        <v>27822.22</v>
      </c>
      <c r="D8" s="229">
        <v>11128.51</v>
      </c>
      <c r="E8" s="228">
        <f>+(C8+D8)/12</f>
        <v>3245.8941666666669</v>
      </c>
      <c r="F8" s="18"/>
      <c r="G8" s="23">
        <f>+C8+D8+E8</f>
        <v>42196.624166666668</v>
      </c>
      <c r="H8" s="24">
        <f>+(C8+C8/12)*27.83%+(D8+D8/12)*24.2%</f>
        <v>11305.691849833333</v>
      </c>
      <c r="I8" s="24">
        <f>+G8*8.5%</f>
        <v>3586.713054166667</v>
      </c>
      <c r="J8" s="24">
        <f>+(C8+C8/12)*5.68%+(D8+D8/12)*3.41%</f>
        <v>2123.09964425</v>
      </c>
      <c r="K8" s="111">
        <f>+G8+H8+I8+J8</f>
        <v>59212.128714916675</v>
      </c>
      <c r="L8" s="28"/>
      <c r="M8" s="28"/>
    </row>
    <row r="9" spans="1:16" ht="19.5" customHeight="1" x14ac:dyDescent="0.25">
      <c r="A9" s="322"/>
      <c r="B9" s="29"/>
      <c r="C9" s="29"/>
      <c r="D9" s="29"/>
      <c r="E9" s="29"/>
      <c r="F9" s="29"/>
      <c r="G9" s="29"/>
      <c r="H9" s="29"/>
      <c r="I9" s="29"/>
      <c r="J9" s="29"/>
      <c r="K9" s="29"/>
      <c r="L9" s="29"/>
      <c r="M9" s="29"/>
    </row>
    <row r="10" spans="1:16" ht="66" customHeight="1" x14ac:dyDescent="0.25">
      <c r="A10" s="301" t="s">
        <v>20</v>
      </c>
      <c r="B10" s="16" t="s">
        <v>7</v>
      </c>
      <c r="C10" s="16" t="s">
        <v>21</v>
      </c>
      <c r="D10" s="16" t="s">
        <v>22</v>
      </c>
      <c r="E10" s="16"/>
      <c r="F10" s="16"/>
      <c r="G10" s="16" t="s">
        <v>11</v>
      </c>
      <c r="H10" s="16" t="s">
        <v>60</v>
      </c>
      <c r="I10" s="16" t="s">
        <v>61</v>
      </c>
      <c r="J10" s="16" t="s">
        <v>62</v>
      </c>
      <c r="K10" s="71" t="s">
        <v>15</v>
      </c>
      <c r="L10" s="73" t="s">
        <v>58</v>
      </c>
      <c r="M10" s="73" t="s">
        <v>59</v>
      </c>
    </row>
    <row r="11" spans="1:16" ht="18" customHeight="1" x14ac:dyDescent="0.25">
      <c r="A11" s="301"/>
      <c r="B11" s="34" t="s">
        <v>204</v>
      </c>
      <c r="C11" s="35">
        <v>60102.87</v>
      </c>
      <c r="D11" s="36">
        <v>2314.2600000000002</v>
      </c>
      <c r="E11" s="2"/>
      <c r="F11" s="18"/>
      <c r="G11" s="37">
        <f>+C11+D11</f>
        <v>62417.130000000005</v>
      </c>
      <c r="H11" s="38">
        <f>G11*24.2%</f>
        <v>15104.945460000001</v>
      </c>
      <c r="I11" s="38">
        <f>G11*7.1%*80%</f>
        <v>3545.2929839999997</v>
      </c>
      <c r="J11" s="38">
        <f>G11*8.5%</f>
        <v>5305.4560500000007</v>
      </c>
      <c r="K11" s="39">
        <f>+ROUND(+G11+H11+I11+J11,2)</f>
        <v>86372.82</v>
      </c>
      <c r="L11" s="76"/>
      <c r="M11" s="92">
        <f>+ROUND(K11*L11,2)</f>
        <v>0</v>
      </c>
    </row>
    <row r="12" spans="1:16" ht="18" customHeight="1" x14ac:dyDescent="0.25">
      <c r="A12" s="301"/>
      <c r="B12" s="34" t="s">
        <v>26</v>
      </c>
      <c r="C12" s="35">
        <v>47015.77</v>
      </c>
      <c r="D12" s="36">
        <v>1809.86</v>
      </c>
      <c r="E12" s="43"/>
      <c r="F12" s="18"/>
      <c r="G12" s="37">
        <f>+C12+D12</f>
        <v>48825.63</v>
      </c>
      <c r="H12" s="38">
        <f>G12*24.2%</f>
        <v>11815.802459999999</v>
      </c>
      <c r="I12" s="38">
        <f>G12*7.1%*80%</f>
        <v>2773.2957839999999</v>
      </c>
      <c r="J12" s="38">
        <f>G12*8.5%</f>
        <v>4150.1785499999996</v>
      </c>
      <c r="K12" s="39">
        <f>+ROUND(+G12+H12+I12+J12,2)</f>
        <v>67564.91</v>
      </c>
      <c r="L12" s="76">
        <v>2</v>
      </c>
      <c r="M12" s="92">
        <f>+ROUND(K12*L12,2)</f>
        <v>135129.82</v>
      </c>
      <c r="N12" s="79"/>
      <c r="P12" s="9"/>
    </row>
    <row r="13" spans="1:16" ht="14.25" customHeight="1" x14ac:dyDescent="0.25">
      <c r="A13" s="322"/>
      <c r="B13" s="30"/>
      <c r="C13" s="93"/>
      <c r="D13" s="93"/>
      <c r="E13" s="93"/>
      <c r="F13" s="93"/>
      <c r="G13" s="93"/>
      <c r="H13" s="93"/>
      <c r="I13" s="93"/>
      <c r="J13" s="93"/>
      <c r="K13" s="93"/>
      <c r="L13" s="94"/>
      <c r="M13" s="93"/>
      <c r="N13" s="79"/>
      <c r="O13" s="9"/>
      <c r="P13" s="9"/>
    </row>
    <row r="14" spans="1:16" ht="81" customHeight="1" x14ac:dyDescent="0.25">
      <c r="A14" s="301" t="s">
        <v>70</v>
      </c>
      <c r="B14" s="44"/>
      <c r="C14" s="16" t="s">
        <v>33</v>
      </c>
      <c r="D14" s="16" t="s">
        <v>34</v>
      </c>
      <c r="E14" s="16" t="s">
        <v>54</v>
      </c>
      <c r="F14" s="16" t="s">
        <v>35</v>
      </c>
      <c r="G14" s="16" t="s">
        <v>36</v>
      </c>
      <c r="H14" s="16" t="s">
        <v>60</v>
      </c>
      <c r="I14" s="16" t="s">
        <v>64</v>
      </c>
      <c r="J14" s="16" t="s">
        <v>65</v>
      </c>
      <c r="K14" s="71" t="s">
        <v>55</v>
      </c>
      <c r="L14" s="73" t="s">
        <v>58</v>
      </c>
      <c r="M14" s="73" t="s">
        <v>59</v>
      </c>
      <c r="P14" s="9"/>
    </row>
    <row r="15" spans="1:16" ht="15.75" customHeight="1" x14ac:dyDescent="0.25">
      <c r="A15" s="301"/>
      <c r="B15" s="43" t="s">
        <v>37</v>
      </c>
      <c r="C15" s="95">
        <v>23501.93</v>
      </c>
      <c r="D15" s="41">
        <v>904.56</v>
      </c>
      <c r="E15" s="41"/>
      <c r="F15" s="48">
        <f>+ROUND((C15+D15+E15)/12,2)</f>
        <v>2033.87</v>
      </c>
      <c r="G15" s="41">
        <f>+F15+D15+C15+E15</f>
        <v>26440.36</v>
      </c>
      <c r="H15" s="96">
        <f>G15*24.2%</f>
        <v>6398.5671199999997</v>
      </c>
      <c r="I15" s="96">
        <f>G15*7.1%*80%</f>
        <v>1501.8124479999999</v>
      </c>
      <c r="J15" s="96">
        <f>G15*8.5%</f>
        <v>2247.4306000000001</v>
      </c>
      <c r="K15" s="39">
        <f>+ROUND(+G15+H15+I15+J15,2)</f>
        <v>36588.17</v>
      </c>
      <c r="L15" s="76">
        <v>59</v>
      </c>
      <c r="M15" s="92">
        <f>+ROUND(K15*L15,2)</f>
        <v>2158702.0299999998</v>
      </c>
    </row>
    <row r="16" spans="1:16" x14ac:dyDescent="0.25">
      <c r="A16" s="301"/>
      <c r="B16" s="50"/>
      <c r="C16" s="54"/>
      <c r="D16" s="59"/>
      <c r="E16" s="59"/>
      <c r="F16" s="54"/>
      <c r="G16" s="54"/>
      <c r="H16" s="54"/>
      <c r="I16" s="54"/>
      <c r="J16" s="54"/>
      <c r="K16" s="54"/>
      <c r="L16" s="54"/>
      <c r="M16" s="54"/>
    </row>
    <row r="17" spans="1:13" x14ac:dyDescent="0.25">
      <c r="A17" s="301"/>
      <c r="B17" s="43" t="s">
        <v>38</v>
      </c>
      <c r="C17" s="95">
        <v>19351.97</v>
      </c>
      <c r="D17" s="41">
        <v>744.72</v>
      </c>
      <c r="E17" s="41"/>
      <c r="F17" s="48">
        <f>+ROUND((C17+D17+E17)/12,2)</f>
        <v>1674.72</v>
      </c>
      <c r="G17" s="41">
        <f>+F17+D17+C17+E17</f>
        <v>21771.41</v>
      </c>
      <c r="H17" s="96">
        <f>G17*24.2%</f>
        <v>5268.6812199999995</v>
      </c>
      <c r="I17" s="96">
        <f>G17*7.1%*80%</f>
        <v>1236.616088</v>
      </c>
      <c r="J17" s="96">
        <f>G17*8.5%</f>
        <v>1850.5698500000001</v>
      </c>
      <c r="K17" s="39">
        <f>+ROUND(+G17+H17+I17+J17,2)</f>
        <v>30127.279999999999</v>
      </c>
      <c r="L17" s="76">
        <v>22</v>
      </c>
      <c r="M17" s="92">
        <f>+ROUND(K17*L17,2)</f>
        <v>662800.16</v>
      </c>
    </row>
    <row r="18" spans="1:13" x14ac:dyDescent="0.25">
      <c r="A18" s="301"/>
      <c r="B18" s="56"/>
      <c r="C18" s="59"/>
      <c r="D18" s="59"/>
      <c r="E18" s="59"/>
      <c r="F18" s="59"/>
      <c r="G18" s="54"/>
      <c r="H18" s="59"/>
      <c r="I18" s="59"/>
      <c r="J18" s="59"/>
      <c r="K18" s="59"/>
      <c r="L18" s="59"/>
      <c r="M18" s="59"/>
    </row>
    <row r="19" spans="1:13" x14ac:dyDescent="0.25">
      <c r="A19" s="301"/>
      <c r="B19" s="43" t="s">
        <v>39</v>
      </c>
      <c r="C19" s="95">
        <v>18390.84</v>
      </c>
      <c r="D19" s="41">
        <v>707.76</v>
      </c>
      <c r="E19" s="41"/>
      <c r="F19" s="48">
        <f>+ROUND((C19+D19+E19)/12,2)</f>
        <v>1591.55</v>
      </c>
      <c r="G19" s="41">
        <f>+F19+D19+C19+E19</f>
        <v>20690.150000000001</v>
      </c>
      <c r="H19" s="96">
        <f>G19*24.2%</f>
        <v>5007.0163000000002</v>
      </c>
      <c r="I19" s="96">
        <f>G19*7.1%*80%</f>
        <v>1175.2005200000001</v>
      </c>
      <c r="J19" s="96">
        <f>G19*8.5%</f>
        <v>1758.6627500000002</v>
      </c>
      <c r="K19" s="39">
        <f>+ROUND(+G19+H19+I19+J19,2)</f>
        <v>28631.03</v>
      </c>
      <c r="L19" s="76"/>
      <c r="M19" s="92">
        <f>+ROUND(K19*L19,2)</f>
        <v>0</v>
      </c>
    </row>
    <row r="20" spans="1:13" x14ac:dyDescent="0.25">
      <c r="A20" s="301"/>
      <c r="B20" s="50"/>
      <c r="C20" s="97"/>
      <c r="D20" s="98"/>
      <c r="E20" s="98"/>
      <c r="F20" s="97"/>
      <c r="G20" s="97"/>
      <c r="H20" s="99"/>
      <c r="I20" s="99"/>
      <c r="J20" s="99"/>
      <c r="K20" s="99"/>
      <c r="L20" s="99"/>
      <c r="M20" s="99"/>
    </row>
    <row r="21" spans="1:13" ht="33" customHeight="1" x14ac:dyDescent="0.25">
      <c r="B21" s="2"/>
      <c r="C21" s="100"/>
      <c r="D21" s="101"/>
      <c r="E21" s="101"/>
      <c r="F21" s="100"/>
      <c r="G21" s="79"/>
      <c r="H21" s="79"/>
      <c r="I21" s="102" t="s">
        <v>66</v>
      </c>
      <c r="J21" s="103" t="s">
        <v>67</v>
      </c>
      <c r="K21" s="104"/>
      <c r="L21" s="105">
        <f>+L11</f>
        <v>0</v>
      </c>
      <c r="M21" s="106">
        <f>+M11</f>
        <v>0</v>
      </c>
    </row>
    <row r="22" spans="1:13" ht="29.25" customHeight="1" x14ac:dyDescent="0.25">
      <c r="D22" s="2"/>
      <c r="E22" s="2"/>
      <c r="I22" s="102" t="s">
        <v>66</v>
      </c>
      <c r="J22" s="107" t="s">
        <v>68</v>
      </c>
      <c r="K22" s="18"/>
      <c r="L22" s="105">
        <f>+SUM(L12:L20)+L7+L8</f>
        <v>83</v>
      </c>
      <c r="M22" s="92">
        <f>+SUM(M12:M20)+M7+M8</f>
        <v>2956632.01</v>
      </c>
    </row>
    <row r="23" spans="1:13" ht="37.5" customHeight="1" x14ac:dyDescent="0.3">
      <c r="J23" s="84" t="s">
        <v>69</v>
      </c>
      <c r="K23" s="108"/>
      <c r="L23" s="76">
        <f>+SUM(L7:L20)</f>
        <v>83</v>
      </c>
      <c r="M23" s="78">
        <f>+SUM(M7:M20)</f>
        <v>2956632.01</v>
      </c>
    </row>
    <row r="24" spans="1:13" ht="18.75" customHeight="1" x14ac:dyDescent="0.25">
      <c r="K24" s="55"/>
      <c r="L24" s="55"/>
      <c r="M24" s="55"/>
    </row>
  </sheetData>
  <mergeCells count="10">
    <mergeCell ref="A5:M5"/>
    <mergeCell ref="A6:A8"/>
    <mergeCell ref="A10:A12"/>
    <mergeCell ref="A14:A20"/>
    <mergeCell ref="A1:C1"/>
    <mergeCell ref="I1:L1"/>
    <mergeCell ref="A2:C2"/>
    <mergeCell ref="I2:L3"/>
    <mergeCell ref="A3:C3"/>
    <mergeCell ref="D3:E3"/>
  </mergeCells>
  <hyperlinks>
    <hyperlink ref="D3" r:id="rId1" xr:uid="{00000000-0004-0000-0400-000000000000}"/>
  </hyperlinks>
  <pageMargins left="0.45" right="0.47013888888888899" top="0.62013888888888902" bottom="0.47013888888888899" header="0.511811023622047" footer="0.511811023622047"/>
  <pageSetup paperSize="9" scale="64" orientation="landscape"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FFC000"/>
    <pageSetUpPr fitToPage="1"/>
  </sheetPr>
  <dimension ref="A1:AMJ24"/>
  <sheetViews>
    <sheetView showGridLines="0" zoomScale="80" zoomScaleNormal="80" workbookViewId="0">
      <selection activeCell="A6" sqref="A6:A20"/>
    </sheetView>
  </sheetViews>
  <sheetFormatPr defaultColWidth="8.5703125" defaultRowHeight="15.75" x14ac:dyDescent="0.25"/>
  <cols>
    <col min="1" max="1" width="18.28515625" style="1" customWidth="1"/>
    <col min="2" max="2" width="13.28515625" style="1" customWidth="1"/>
    <col min="3" max="3" width="16.28515625" style="1" customWidth="1"/>
    <col min="4" max="4" width="22" style="1" customWidth="1"/>
    <col min="5" max="5" width="14.42578125" style="1" customWidth="1"/>
    <col min="6" max="6" width="14.28515625" style="1" customWidth="1"/>
    <col min="7" max="7" width="12.7109375" style="1" customWidth="1"/>
    <col min="8" max="8" width="19" style="1" customWidth="1"/>
    <col min="9" max="9" width="13" style="1" customWidth="1"/>
    <col min="10" max="10" width="11.7109375" style="1" customWidth="1"/>
    <col min="11" max="11" width="28.7109375" style="1" customWidth="1"/>
    <col min="12" max="12" width="16.28515625" style="1" customWidth="1"/>
    <col min="13" max="13" width="17.7109375" style="1" customWidth="1"/>
    <col min="14" max="14" width="12" style="1" customWidth="1"/>
    <col min="15" max="15" width="8.5703125" style="1"/>
    <col min="16" max="16" width="12" style="1" customWidth="1"/>
    <col min="17" max="17" width="11.42578125" style="1" customWidth="1"/>
    <col min="18" max="19" width="12" style="1" customWidth="1"/>
    <col min="20" max="256" width="8.5703125" style="1"/>
    <col min="257" max="257" width="13.28515625" style="1" customWidth="1"/>
    <col min="258" max="258" width="16.28515625" style="1" customWidth="1"/>
    <col min="259" max="259" width="15.28515625" style="1" customWidth="1"/>
    <col min="260" max="260" width="14.42578125" style="1" customWidth="1"/>
    <col min="261" max="261" width="14.28515625" style="1" customWidth="1"/>
    <col min="262" max="262" width="12.7109375" style="1" customWidth="1"/>
    <col min="263" max="263" width="19" style="1" customWidth="1"/>
    <col min="264" max="264" width="13" style="1" customWidth="1"/>
    <col min="265" max="265" width="11.7109375" style="1" customWidth="1"/>
    <col min="266" max="266" width="12.7109375" style="1" customWidth="1"/>
    <col min="267" max="267" width="16.28515625" style="1" customWidth="1"/>
    <col min="268" max="268" width="12.5703125" style="1" customWidth="1"/>
    <col min="269" max="269" width="17.5703125" style="1" customWidth="1"/>
    <col min="270" max="270" width="12" style="1" customWidth="1"/>
    <col min="271" max="271" width="8.5703125" style="1"/>
    <col min="272" max="272" width="12" style="1" customWidth="1"/>
    <col min="273" max="273" width="11.42578125" style="1" customWidth="1"/>
    <col min="274" max="275" width="12" style="1" customWidth="1"/>
    <col min="276" max="512" width="8.5703125" style="1"/>
    <col min="513" max="513" width="13.28515625" style="1" customWidth="1"/>
    <col min="514" max="514" width="16.28515625" style="1" customWidth="1"/>
    <col min="515" max="515" width="15.28515625" style="1" customWidth="1"/>
    <col min="516" max="516" width="14.42578125" style="1" customWidth="1"/>
    <col min="517" max="517" width="14.28515625" style="1" customWidth="1"/>
    <col min="518" max="518" width="12.7109375" style="1" customWidth="1"/>
    <col min="519" max="519" width="19" style="1" customWidth="1"/>
    <col min="520" max="520" width="13" style="1" customWidth="1"/>
    <col min="521" max="521" width="11.7109375" style="1" customWidth="1"/>
    <col min="522" max="522" width="12.7109375" style="1" customWidth="1"/>
    <col min="523" max="523" width="16.28515625" style="1" customWidth="1"/>
    <col min="524" max="524" width="12.5703125" style="1" customWidth="1"/>
    <col min="525" max="525" width="17.5703125" style="1" customWidth="1"/>
    <col min="526" max="526" width="12" style="1" customWidth="1"/>
    <col min="527" max="527" width="8.5703125" style="1"/>
    <col min="528" max="528" width="12" style="1" customWidth="1"/>
    <col min="529" max="529" width="11.42578125" style="1" customWidth="1"/>
    <col min="530" max="531" width="12" style="1" customWidth="1"/>
    <col min="532" max="768" width="8.5703125" style="1"/>
    <col min="769" max="769" width="13.28515625" style="1" customWidth="1"/>
    <col min="770" max="770" width="16.28515625" style="1" customWidth="1"/>
    <col min="771" max="771" width="15.28515625" style="1" customWidth="1"/>
    <col min="772" max="772" width="14.42578125" style="1" customWidth="1"/>
    <col min="773" max="773" width="14.28515625" style="1" customWidth="1"/>
    <col min="774" max="774" width="12.7109375" style="1" customWidth="1"/>
    <col min="775" max="775" width="19" style="1" customWidth="1"/>
    <col min="776" max="776" width="13" style="1" customWidth="1"/>
    <col min="777" max="777" width="11.7109375" style="1" customWidth="1"/>
    <col min="778" max="778" width="12.7109375" style="1" customWidth="1"/>
    <col min="779" max="779" width="16.28515625" style="1" customWidth="1"/>
    <col min="780" max="780" width="12.5703125" style="1" customWidth="1"/>
    <col min="781" max="781" width="17.5703125" style="1" customWidth="1"/>
    <col min="782" max="782" width="12" style="1" customWidth="1"/>
    <col min="783" max="783" width="8.5703125" style="1"/>
    <col min="784" max="784" width="12" style="1" customWidth="1"/>
    <col min="785" max="785" width="11.42578125" style="1" customWidth="1"/>
    <col min="786" max="787" width="12" style="1" customWidth="1"/>
    <col min="788" max="1024" width="8.5703125" style="1"/>
  </cols>
  <sheetData>
    <row r="1" spans="1:16" ht="14.25" customHeight="1" x14ac:dyDescent="0.25">
      <c r="A1" s="274" t="s">
        <v>42</v>
      </c>
      <c r="B1" s="274"/>
      <c r="C1" s="274"/>
      <c r="D1" s="65" t="s">
        <v>43</v>
      </c>
      <c r="E1" s="66"/>
      <c r="F1" s="5"/>
      <c r="I1" s="275" t="s">
        <v>1</v>
      </c>
      <c r="J1" s="275"/>
      <c r="K1" s="275"/>
      <c r="L1" s="275"/>
      <c r="M1" s="6" t="s">
        <v>160</v>
      </c>
    </row>
    <row r="2" spans="1:16" ht="12.75" customHeight="1" x14ac:dyDescent="0.25">
      <c r="A2" s="277" t="s">
        <v>44</v>
      </c>
      <c r="B2" s="277"/>
      <c r="C2" s="277"/>
      <c r="D2" s="68" t="s">
        <v>45</v>
      </c>
      <c r="E2" s="14"/>
      <c r="F2" s="8"/>
      <c r="H2" s="9"/>
      <c r="I2" s="281" t="s">
        <v>3</v>
      </c>
      <c r="J2" s="281"/>
      <c r="K2" s="281"/>
      <c r="L2" s="281"/>
    </row>
    <row r="3" spans="1:16" ht="19.5" customHeight="1" x14ac:dyDescent="0.25">
      <c r="A3" s="279" t="s">
        <v>46</v>
      </c>
      <c r="B3" s="279" t="s">
        <v>5</v>
      </c>
      <c r="C3" s="279" t="s">
        <v>5</v>
      </c>
      <c r="D3" s="284" t="s">
        <v>47</v>
      </c>
      <c r="E3" s="284"/>
      <c r="F3" s="12"/>
      <c r="I3" s="281"/>
      <c r="J3" s="281"/>
      <c r="K3" s="281"/>
      <c r="L3" s="281"/>
    </row>
    <row r="4" spans="1:16" ht="16.5" customHeight="1" x14ac:dyDescent="0.25">
      <c r="A4" s="13"/>
      <c r="B4" s="13"/>
      <c r="C4" s="13"/>
      <c r="D4" s="13"/>
      <c r="E4" s="13"/>
      <c r="F4" s="13"/>
      <c r="G4" s="13"/>
      <c r="H4" s="13"/>
      <c r="I4" s="13"/>
      <c r="J4" s="13"/>
      <c r="K4" s="13"/>
      <c r="L4" s="13"/>
      <c r="M4" s="15"/>
    </row>
    <row r="5" spans="1:16" ht="19.5" customHeight="1" x14ac:dyDescent="0.25">
      <c r="A5" s="290" t="s">
        <v>205</v>
      </c>
      <c r="B5" s="290"/>
      <c r="C5" s="290"/>
      <c r="D5" s="290"/>
      <c r="E5" s="290"/>
      <c r="F5" s="290"/>
      <c r="G5" s="290"/>
      <c r="H5" s="290"/>
      <c r="I5" s="290"/>
      <c r="J5" s="290"/>
      <c r="K5" s="290"/>
      <c r="L5" s="290"/>
      <c r="M5" s="290"/>
    </row>
    <row r="6" spans="1:16" ht="46.5" customHeight="1" x14ac:dyDescent="0.25">
      <c r="A6" s="301" t="s">
        <v>6</v>
      </c>
      <c r="B6" s="16" t="s">
        <v>7</v>
      </c>
      <c r="C6" s="16" t="s">
        <v>8</v>
      </c>
      <c r="D6" s="16" t="s">
        <v>9</v>
      </c>
      <c r="E6" s="17" t="s">
        <v>10</v>
      </c>
      <c r="F6" s="18"/>
      <c r="G6" s="16" t="s">
        <v>11</v>
      </c>
      <c r="H6" s="19" t="s">
        <v>12</v>
      </c>
      <c r="I6" s="19" t="s">
        <v>13</v>
      </c>
      <c r="J6" s="19" t="s">
        <v>14</v>
      </c>
      <c r="K6" s="71" t="s">
        <v>15</v>
      </c>
      <c r="L6" s="73" t="s">
        <v>58</v>
      </c>
      <c r="M6" s="73" t="s">
        <v>59</v>
      </c>
    </row>
    <row r="7" spans="1:16" ht="31.5" x14ac:dyDescent="0.25">
      <c r="A7" s="301"/>
      <c r="B7" s="22" t="s">
        <v>18</v>
      </c>
      <c r="C7" s="229">
        <v>42199.62</v>
      </c>
      <c r="D7" s="229">
        <v>12155.3</v>
      </c>
      <c r="E7" s="228">
        <f>+(C7+D7)/12</f>
        <v>4529.5766666666668</v>
      </c>
      <c r="F7" s="18"/>
      <c r="G7" s="23">
        <f>+C7+D7+E7</f>
        <v>58884.496666666666</v>
      </c>
      <c r="H7" s="24">
        <f>+(C7+C7/12)*27.83%+(D7+D7/12)*24.2%</f>
        <v>15909.548249833335</v>
      </c>
      <c r="I7" s="24">
        <f>+G7*8.5%</f>
        <v>5005.182216666667</v>
      </c>
      <c r="J7" s="24">
        <f>+(C7+C7/12)*5.68%+(D7+D7/12)*3.41%</f>
        <v>3045.7203248333335</v>
      </c>
      <c r="K7" s="111">
        <f>+G7+H7+I7+J7</f>
        <v>82844.94745800001</v>
      </c>
      <c r="L7" s="28"/>
      <c r="M7" s="28"/>
    </row>
    <row r="8" spans="1:16" ht="31.5" x14ac:dyDescent="0.25">
      <c r="A8" s="301"/>
      <c r="B8" s="17" t="s">
        <v>19</v>
      </c>
      <c r="C8" s="229">
        <v>27822.22</v>
      </c>
      <c r="D8" s="229">
        <v>11128.51</v>
      </c>
      <c r="E8" s="228">
        <f>+(C8+D8)/12</f>
        <v>3245.8941666666669</v>
      </c>
      <c r="F8" s="18"/>
      <c r="G8" s="23">
        <f>+C8+D8+E8</f>
        <v>42196.624166666668</v>
      </c>
      <c r="H8" s="24">
        <f>+(C8+C8/12)*27.83%+(D8+D8/12)*24.2%</f>
        <v>11305.691849833333</v>
      </c>
      <c r="I8" s="24">
        <f>+G8*8.5%</f>
        <v>3586.713054166667</v>
      </c>
      <c r="J8" s="24">
        <f>+(C8+C8/12)*5.68%+(D8+D8/12)*3.41%</f>
        <v>2123.09964425</v>
      </c>
      <c r="K8" s="111">
        <f>+G8+H8+I8+J8</f>
        <v>59212.128714916675</v>
      </c>
      <c r="L8" s="28"/>
      <c r="M8" s="28"/>
    </row>
    <row r="9" spans="1:16" ht="19.5" customHeight="1" x14ac:dyDescent="0.25">
      <c r="A9" s="322"/>
      <c r="B9" s="29"/>
      <c r="C9" s="29"/>
      <c r="D9" s="29"/>
      <c r="E9" s="29"/>
      <c r="F9" s="29"/>
      <c r="G9" s="29"/>
      <c r="H9" s="29"/>
      <c r="I9" s="29"/>
      <c r="J9" s="29"/>
      <c r="K9" s="29"/>
      <c r="L9" s="29"/>
      <c r="M9" s="29"/>
    </row>
    <row r="10" spans="1:16" ht="66" customHeight="1" x14ac:dyDescent="0.25">
      <c r="A10" s="301" t="s">
        <v>20</v>
      </c>
      <c r="B10" s="16" t="s">
        <v>7</v>
      </c>
      <c r="C10" s="16" t="s">
        <v>21</v>
      </c>
      <c r="D10" s="16" t="s">
        <v>22</v>
      </c>
      <c r="E10" s="16"/>
      <c r="F10" s="16"/>
      <c r="G10" s="16" t="s">
        <v>11</v>
      </c>
      <c r="H10" s="16" t="s">
        <v>60</v>
      </c>
      <c r="I10" s="16" t="s">
        <v>61</v>
      </c>
      <c r="J10" s="16" t="s">
        <v>62</v>
      </c>
      <c r="K10" s="71" t="s">
        <v>15</v>
      </c>
      <c r="L10" s="73" t="s">
        <v>58</v>
      </c>
      <c r="M10" s="73" t="s">
        <v>59</v>
      </c>
    </row>
    <row r="11" spans="1:16" ht="18" customHeight="1" x14ac:dyDescent="0.25">
      <c r="A11" s="301"/>
      <c r="B11" s="34" t="s">
        <v>204</v>
      </c>
      <c r="C11" s="35">
        <v>60102.87</v>
      </c>
      <c r="D11" s="36">
        <v>2314.2600000000002</v>
      </c>
      <c r="E11" s="2"/>
      <c r="F11" s="18"/>
      <c r="G11" s="37">
        <f>+C11+D11</f>
        <v>62417.130000000005</v>
      </c>
      <c r="H11" s="38">
        <f>G11*24.2%</f>
        <v>15104.945460000001</v>
      </c>
      <c r="I11" s="38">
        <f>G11*7.1%*80%</f>
        <v>3545.2929839999997</v>
      </c>
      <c r="J11" s="38">
        <f>G11*8.5%</f>
        <v>5305.4560500000007</v>
      </c>
      <c r="K11" s="39">
        <f>+ROUND(+G11+H11+I11+J11,2)</f>
        <v>86372.82</v>
      </c>
      <c r="L11" s="76"/>
      <c r="M11" s="92">
        <f>+ROUND(K11*L11,2)</f>
        <v>0</v>
      </c>
    </row>
    <row r="12" spans="1:16" ht="18" customHeight="1" x14ac:dyDescent="0.25">
      <c r="A12" s="301"/>
      <c r="B12" s="34" t="s">
        <v>26</v>
      </c>
      <c r="C12" s="35">
        <v>47015.77</v>
      </c>
      <c r="D12" s="36">
        <v>1809.86</v>
      </c>
      <c r="E12" s="43"/>
      <c r="F12" s="18"/>
      <c r="G12" s="37">
        <f>+C12+D12</f>
        <v>48825.63</v>
      </c>
      <c r="H12" s="38">
        <f>G12*24.2%</f>
        <v>11815.802459999999</v>
      </c>
      <c r="I12" s="38">
        <f>G12*7.1%*80%</f>
        <v>2773.2957839999999</v>
      </c>
      <c r="J12" s="38">
        <f>G12*8.5%</f>
        <v>4150.1785499999996</v>
      </c>
      <c r="K12" s="39">
        <f>+ROUND(+G12+H12+I12+J12,2)</f>
        <v>67564.91</v>
      </c>
      <c r="L12" s="76"/>
      <c r="M12" s="92">
        <f>+ROUND(K12*L12,2)</f>
        <v>0</v>
      </c>
      <c r="N12" s="79"/>
      <c r="P12" s="9"/>
    </row>
    <row r="13" spans="1:16" ht="14.25" customHeight="1" x14ac:dyDescent="0.25">
      <c r="A13" s="322"/>
      <c r="B13" s="30"/>
      <c r="C13" s="93"/>
      <c r="D13" s="93"/>
      <c r="E13" s="93"/>
      <c r="F13" s="93"/>
      <c r="G13" s="93"/>
      <c r="H13" s="93"/>
      <c r="I13" s="93"/>
      <c r="J13" s="93"/>
      <c r="K13" s="93"/>
      <c r="L13" s="94"/>
      <c r="M13" s="93"/>
      <c r="N13" s="79"/>
      <c r="O13" s="9"/>
      <c r="P13" s="9"/>
    </row>
    <row r="14" spans="1:16" ht="84" customHeight="1" x14ac:dyDescent="0.25">
      <c r="A14" s="301" t="s">
        <v>70</v>
      </c>
      <c r="B14" s="44"/>
      <c r="C14" s="16" t="s">
        <v>33</v>
      </c>
      <c r="D14" s="16" t="s">
        <v>34</v>
      </c>
      <c r="E14" s="16" t="s">
        <v>54</v>
      </c>
      <c r="F14" s="16" t="s">
        <v>35</v>
      </c>
      <c r="G14" s="16" t="s">
        <v>36</v>
      </c>
      <c r="H14" s="16" t="s">
        <v>60</v>
      </c>
      <c r="I14" s="16" t="s">
        <v>64</v>
      </c>
      <c r="J14" s="16" t="s">
        <v>65</v>
      </c>
      <c r="K14" s="71" t="s">
        <v>55</v>
      </c>
      <c r="L14" s="73" t="s">
        <v>58</v>
      </c>
      <c r="M14" s="73" t="s">
        <v>59</v>
      </c>
      <c r="P14" s="9"/>
    </row>
    <row r="15" spans="1:16" ht="15.75" customHeight="1" x14ac:dyDescent="0.25">
      <c r="A15" s="301"/>
      <c r="B15" s="43" t="s">
        <v>37</v>
      </c>
      <c r="C15" s="95">
        <v>23501.93</v>
      </c>
      <c r="D15" s="41">
        <v>904.56</v>
      </c>
      <c r="E15" s="41"/>
      <c r="F15" s="48">
        <f>+ROUND((C15+D15+E15)/12,2)</f>
        <v>2033.87</v>
      </c>
      <c r="G15" s="41">
        <f>+F15+D15+C15+E15</f>
        <v>26440.36</v>
      </c>
      <c r="H15" s="96">
        <f>G15*24.2%</f>
        <v>6398.5671199999997</v>
      </c>
      <c r="I15" s="96">
        <f>G15*7.1%*80%</f>
        <v>1501.8124479999999</v>
      </c>
      <c r="J15" s="96">
        <f>G15*8.5%</f>
        <v>2247.4306000000001</v>
      </c>
      <c r="K15" s="39">
        <f>+ROUND(+G15+H15+I15+J15,2)</f>
        <v>36588.17</v>
      </c>
      <c r="L15" s="76">
        <v>67</v>
      </c>
      <c r="M15" s="92">
        <f>+ROUND(K15*L15,2)</f>
        <v>2451407.39</v>
      </c>
    </row>
    <row r="16" spans="1:16" x14ac:dyDescent="0.25">
      <c r="A16" s="301"/>
      <c r="B16" s="50"/>
      <c r="C16" s="54"/>
      <c r="D16" s="59"/>
      <c r="E16" s="59"/>
      <c r="F16" s="54"/>
      <c r="G16" s="54"/>
      <c r="H16" s="54"/>
      <c r="I16" s="54"/>
      <c r="J16" s="54"/>
      <c r="K16" s="54"/>
      <c r="L16" s="54"/>
      <c r="M16" s="54"/>
    </row>
    <row r="17" spans="1:13" x14ac:dyDescent="0.25">
      <c r="A17" s="301"/>
      <c r="B17" s="43" t="s">
        <v>38</v>
      </c>
      <c r="C17" s="95">
        <v>19351.97</v>
      </c>
      <c r="D17" s="41">
        <v>744.72</v>
      </c>
      <c r="E17" s="41"/>
      <c r="F17" s="48">
        <f>+ROUND((C17+D17+E17)/12,2)</f>
        <v>1674.72</v>
      </c>
      <c r="G17" s="41">
        <f>+F17+D17+C17+E17</f>
        <v>21771.41</v>
      </c>
      <c r="H17" s="96">
        <f>G17*24.2%</f>
        <v>5268.6812199999995</v>
      </c>
      <c r="I17" s="96">
        <f>G17*7.1%*80%</f>
        <v>1236.616088</v>
      </c>
      <c r="J17" s="96">
        <f>G17*8.5%</f>
        <v>1850.5698500000001</v>
      </c>
      <c r="K17" s="39">
        <f>+ROUND(+G17+H17+I17+J17,2)</f>
        <v>30127.279999999999</v>
      </c>
      <c r="L17" s="76">
        <v>31</v>
      </c>
      <c r="M17" s="92">
        <f>+ROUND(K17*L17,2)</f>
        <v>933945.68</v>
      </c>
    </row>
    <row r="18" spans="1:13" x14ac:dyDescent="0.25">
      <c r="A18" s="301"/>
      <c r="B18" s="56"/>
      <c r="C18" s="59"/>
      <c r="D18" s="59"/>
      <c r="E18" s="59"/>
      <c r="F18" s="59"/>
      <c r="G18" s="54"/>
      <c r="H18" s="59"/>
      <c r="I18" s="59"/>
      <c r="J18" s="59"/>
      <c r="K18" s="59"/>
      <c r="L18" s="59"/>
      <c r="M18" s="59"/>
    </row>
    <row r="19" spans="1:13" x14ac:dyDescent="0.25">
      <c r="A19" s="301"/>
      <c r="B19" s="43" t="s">
        <v>39</v>
      </c>
      <c r="C19" s="95">
        <v>18390.84</v>
      </c>
      <c r="D19" s="41">
        <v>707.76</v>
      </c>
      <c r="E19" s="41"/>
      <c r="F19" s="48">
        <f>+ROUND((C19+D19+E19)/12,2)</f>
        <v>1591.55</v>
      </c>
      <c r="G19" s="41">
        <f>+F19+D19+C19+E19</f>
        <v>20690.150000000001</v>
      </c>
      <c r="H19" s="96">
        <f>G19*24.2%</f>
        <v>5007.0163000000002</v>
      </c>
      <c r="I19" s="96">
        <f>G19*7.1%*80%</f>
        <v>1175.2005200000001</v>
      </c>
      <c r="J19" s="96">
        <f>G19*8.5%</f>
        <v>1758.6627500000002</v>
      </c>
      <c r="K19" s="39">
        <f>+ROUND(+G19+H19+I19+J19,2)</f>
        <v>28631.03</v>
      </c>
      <c r="L19" s="76">
        <v>4</v>
      </c>
      <c r="M19" s="92">
        <f>+ROUND(K19*L19,2)</f>
        <v>114524.12</v>
      </c>
    </row>
    <row r="20" spans="1:13" x14ac:dyDescent="0.25">
      <c r="A20" s="301"/>
      <c r="B20" s="50"/>
      <c r="C20" s="97"/>
      <c r="D20" s="98"/>
      <c r="E20" s="98"/>
      <c r="F20" s="97"/>
      <c r="G20" s="97"/>
      <c r="H20" s="99"/>
      <c r="I20" s="99"/>
      <c r="J20" s="99"/>
      <c r="K20" s="99"/>
      <c r="L20" s="99"/>
      <c r="M20" s="99"/>
    </row>
    <row r="21" spans="1:13" ht="33" customHeight="1" x14ac:dyDescent="0.25">
      <c r="B21" s="2"/>
      <c r="C21" s="100"/>
      <c r="D21" s="101"/>
      <c r="E21" s="101"/>
      <c r="F21" s="100"/>
      <c r="G21" s="79"/>
      <c r="H21" s="79"/>
      <c r="I21" s="102" t="s">
        <v>66</v>
      </c>
      <c r="J21" s="103" t="s">
        <v>67</v>
      </c>
      <c r="K21" s="104"/>
      <c r="L21" s="105">
        <f>+L11</f>
        <v>0</v>
      </c>
      <c r="M21" s="106">
        <f>+M11</f>
        <v>0</v>
      </c>
    </row>
    <row r="22" spans="1:13" ht="29.25" customHeight="1" x14ac:dyDescent="0.25">
      <c r="D22" s="2"/>
      <c r="E22" s="2"/>
      <c r="I22" s="102" t="s">
        <v>66</v>
      </c>
      <c r="J22" s="107" t="s">
        <v>68</v>
      </c>
      <c r="K22" s="18"/>
      <c r="L22" s="105">
        <f>+SUM(L12:L20)+L7+L8</f>
        <v>102</v>
      </c>
      <c r="M22" s="92">
        <f>+SUM(M12:M20)+M7+M8</f>
        <v>3499877.1900000004</v>
      </c>
    </row>
    <row r="23" spans="1:13" ht="37.5" customHeight="1" x14ac:dyDescent="0.3">
      <c r="J23" s="84" t="s">
        <v>69</v>
      </c>
      <c r="K23" s="108"/>
      <c r="L23" s="76">
        <f>+SUM(L7:L20)</f>
        <v>102</v>
      </c>
      <c r="M23" s="78">
        <f>+SUM(M7:M20)</f>
        <v>3499877.1900000004</v>
      </c>
    </row>
    <row r="24" spans="1:13" ht="18.75" customHeight="1" x14ac:dyDescent="0.25">
      <c r="K24" s="55"/>
      <c r="L24" s="55"/>
      <c r="M24" s="55"/>
    </row>
  </sheetData>
  <mergeCells count="10">
    <mergeCell ref="A5:M5"/>
    <mergeCell ref="A6:A8"/>
    <mergeCell ref="A10:A12"/>
    <mergeCell ref="A14:A20"/>
    <mergeCell ref="A1:C1"/>
    <mergeCell ref="I1:L1"/>
    <mergeCell ref="A2:C2"/>
    <mergeCell ref="I2:L3"/>
    <mergeCell ref="A3:C3"/>
    <mergeCell ref="D3:E3"/>
  </mergeCells>
  <hyperlinks>
    <hyperlink ref="D3" r:id="rId1" xr:uid="{00000000-0004-0000-0500-000000000000}"/>
  </hyperlinks>
  <pageMargins left="0.45" right="0.47013888888888899" top="0.62013888888888902" bottom="0.47013888888888899" header="0.511811023622047" footer="0.511811023622047"/>
  <pageSetup paperSize="9" scale="66" orientation="landscape"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ED7D31"/>
    <pageSetUpPr fitToPage="1"/>
  </sheetPr>
  <dimension ref="A1:AMJ42"/>
  <sheetViews>
    <sheetView showGridLines="0" zoomScale="80" zoomScaleNormal="80" workbookViewId="0">
      <selection activeCell="A7" sqref="A7:A19"/>
    </sheetView>
  </sheetViews>
  <sheetFormatPr defaultColWidth="8.5703125" defaultRowHeight="15.75" x14ac:dyDescent="0.25"/>
  <cols>
    <col min="1" max="1" width="17.7109375" style="112" customWidth="1"/>
    <col min="2" max="2" width="17" style="112" customWidth="1"/>
    <col min="3" max="3" width="22.7109375" style="112" customWidth="1"/>
    <col min="4" max="4" width="17.7109375" style="112" customWidth="1"/>
    <col min="5" max="5" width="17.7109375" style="113" customWidth="1"/>
    <col min="6" max="11" width="17.7109375" style="112" customWidth="1"/>
    <col min="12" max="12" width="17.7109375" style="113" customWidth="1"/>
    <col min="13" max="13" width="8.5703125" style="112"/>
    <col min="14" max="14" width="26.85546875" style="112" customWidth="1"/>
    <col min="15" max="254" width="8.5703125" style="112"/>
    <col min="255" max="256" width="12.7109375" style="112" customWidth="1"/>
    <col min="257" max="259" width="22.7109375" style="112" customWidth="1"/>
    <col min="260" max="261" width="17.7109375" style="112" customWidth="1"/>
    <col min="262" max="263" width="20.5703125" style="112" customWidth="1"/>
    <col min="264" max="265" width="17.7109375" style="112" customWidth="1"/>
    <col min="266" max="266" width="6" style="112" customWidth="1"/>
    <col min="267" max="510" width="8.5703125" style="112"/>
    <col min="511" max="512" width="12.7109375" style="112" customWidth="1"/>
    <col min="513" max="515" width="22.7109375" style="112" customWidth="1"/>
    <col min="516" max="517" width="17.7109375" style="112" customWidth="1"/>
    <col min="518" max="519" width="20.5703125" style="112" customWidth="1"/>
    <col min="520" max="521" width="17.7109375" style="112" customWidth="1"/>
    <col min="522" max="522" width="6" style="112" customWidth="1"/>
    <col min="523" max="766" width="8.5703125" style="112"/>
    <col min="767" max="768" width="12.7109375" style="112" customWidth="1"/>
    <col min="769" max="771" width="22.7109375" style="112" customWidth="1"/>
    <col min="772" max="773" width="17.7109375" style="112" customWidth="1"/>
    <col min="774" max="775" width="20.5703125" style="112" customWidth="1"/>
    <col min="776" max="777" width="17.7109375" style="112" customWidth="1"/>
    <col min="778" max="778" width="6" style="112" customWidth="1"/>
    <col min="779" max="1022" width="8.5703125" style="112"/>
    <col min="1023" max="1024" width="12.7109375" style="112" customWidth="1"/>
  </cols>
  <sheetData>
    <row r="1" spans="1:244" s="1" customFormat="1" ht="14.25" customHeight="1" x14ac:dyDescent="0.25">
      <c r="A1" s="274" t="s">
        <v>42</v>
      </c>
      <c r="B1" s="274"/>
      <c r="C1" s="274"/>
      <c r="D1" s="65" t="s">
        <v>43</v>
      </c>
      <c r="E1" s="66"/>
      <c r="F1" s="5"/>
      <c r="I1" s="281" t="s">
        <v>1</v>
      </c>
      <c r="J1" s="281"/>
      <c r="K1" s="281"/>
      <c r="L1" s="281"/>
      <c r="N1" s="224" t="s">
        <v>161</v>
      </c>
    </row>
    <row r="2" spans="1:244" s="1" customFormat="1" ht="14.25" customHeight="1" x14ac:dyDescent="0.25">
      <c r="A2" s="277" t="s">
        <v>44</v>
      </c>
      <c r="B2" s="277"/>
      <c r="C2" s="277"/>
      <c r="D2" s="68" t="s">
        <v>45</v>
      </c>
      <c r="E2" s="14"/>
      <c r="F2" s="8"/>
      <c r="H2" s="9"/>
      <c r="I2" s="281" t="s">
        <v>3</v>
      </c>
      <c r="J2" s="281"/>
      <c r="K2" s="281"/>
      <c r="L2" s="281"/>
    </row>
    <row r="3" spans="1:244" s="1" customFormat="1" ht="14.25" customHeight="1" x14ac:dyDescent="0.25">
      <c r="A3" s="279" t="s">
        <v>46</v>
      </c>
      <c r="B3" s="279" t="s">
        <v>5</v>
      </c>
      <c r="C3" s="279" t="s">
        <v>5</v>
      </c>
      <c r="D3" s="284" t="s">
        <v>47</v>
      </c>
      <c r="E3" s="284"/>
      <c r="F3" s="12"/>
      <c r="I3" s="281"/>
      <c r="J3" s="281"/>
      <c r="K3" s="281"/>
      <c r="L3" s="281"/>
    </row>
    <row r="4" spans="1:244" ht="18" customHeight="1" x14ac:dyDescent="0.25">
      <c r="A4" s="114"/>
      <c r="R4" s="115"/>
      <c r="S4" s="115"/>
      <c r="T4" s="115"/>
      <c r="U4" s="116"/>
      <c r="V4" s="116"/>
      <c r="W4" s="117"/>
      <c r="AE4" s="115"/>
      <c r="AF4" s="115"/>
      <c r="AG4" s="115"/>
      <c r="AH4" s="116"/>
      <c r="AI4" s="116"/>
      <c r="AJ4" s="117"/>
      <c r="AR4" s="115"/>
      <c r="AS4" s="115"/>
      <c r="AT4" s="115"/>
      <c r="AU4" s="116"/>
      <c r="AV4" s="116"/>
      <c r="AW4" s="117"/>
      <c r="BE4" s="115"/>
      <c r="BF4" s="115"/>
      <c r="BG4" s="115"/>
      <c r="BH4" s="116"/>
      <c r="BI4" s="116"/>
      <c r="BJ4" s="117"/>
      <c r="BR4" s="115"/>
      <c r="BS4" s="115"/>
      <c r="BT4" s="115"/>
      <c r="BU4" s="116"/>
      <c r="BV4" s="116"/>
      <c r="BW4" s="117"/>
      <c r="CE4" s="115"/>
      <c r="CF4" s="115"/>
      <c r="CG4" s="115"/>
      <c r="CH4" s="116"/>
      <c r="CI4" s="116"/>
      <c r="CJ4" s="117"/>
      <c r="CR4" s="115"/>
      <c r="CS4" s="115"/>
      <c r="CT4" s="115"/>
      <c r="CU4" s="116"/>
      <c r="CV4" s="116"/>
      <c r="CW4" s="117"/>
      <c r="DE4" s="115"/>
      <c r="DF4" s="115"/>
      <c r="DG4" s="115"/>
      <c r="DH4" s="116"/>
      <c r="DI4" s="116"/>
      <c r="DJ4" s="117"/>
      <c r="DR4" s="115"/>
      <c r="DS4" s="115"/>
      <c r="DT4" s="115"/>
      <c r="DU4" s="116"/>
      <c r="DV4" s="116"/>
      <c r="DW4" s="117"/>
      <c r="EE4" s="115"/>
      <c r="EF4" s="115"/>
      <c r="EG4" s="115"/>
      <c r="EH4" s="116"/>
      <c r="EI4" s="116"/>
      <c r="EJ4" s="117"/>
      <c r="ER4" s="115"/>
      <c r="ES4" s="115"/>
      <c r="ET4" s="115"/>
      <c r="EU4" s="116"/>
      <c r="EV4" s="116"/>
      <c r="EW4" s="117"/>
      <c r="FE4" s="115"/>
      <c r="FF4" s="115"/>
      <c r="FG4" s="115"/>
      <c r="FH4" s="116"/>
      <c r="FI4" s="116"/>
      <c r="FJ4" s="117"/>
      <c r="FR4" s="115"/>
      <c r="FS4" s="115"/>
      <c r="FT4" s="115"/>
      <c r="FU4" s="116"/>
      <c r="FV4" s="116"/>
      <c r="FW4" s="117"/>
      <c r="GE4" s="115"/>
      <c r="GF4" s="115"/>
      <c r="GG4" s="115"/>
      <c r="GH4" s="116"/>
      <c r="GI4" s="116"/>
      <c r="GJ4" s="117"/>
      <c r="GR4" s="115"/>
      <c r="GS4" s="115"/>
      <c r="GT4" s="115"/>
      <c r="GU4" s="116"/>
      <c r="GV4" s="116"/>
      <c r="GW4" s="117"/>
      <c r="HE4" s="115"/>
      <c r="HF4" s="115"/>
      <c r="HG4" s="115"/>
      <c r="HH4" s="116"/>
      <c r="HI4" s="116"/>
      <c r="HJ4" s="117"/>
      <c r="HR4" s="115"/>
      <c r="HS4" s="115"/>
      <c r="HT4" s="115"/>
      <c r="HU4" s="116"/>
      <c r="HV4" s="116"/>
      <c r="HW4" s="117"/>
      <c r="IE4" s="115"/>
      <c r="IF4" s="115"/>
      <c r="IG4" s="115"/>
      <c r="IH4" s="116"/>
      <c r="II4" s="116"/>
      <c r="IJ4" s="117"/>
    </row>
    <row r="5" spans="1:244" ht="14.25" customHeight="1" x14ac:dyDescent="0.25">
      <c r="B5" s="115"/>
      <c r="R5" s="115"/>
      <c r="S5" s="115"/>
      <c r="T5" s="115"/>
      <c r="U5" s="116"/>
      <c r="V5" s="116"/>
      <c r="W5" s="117"/>
      <c r="AE5" s="115"/>
      <c r="AF5" s="115"/>
      <c r="AG5" s="115"/>
      <c r="AH5" s="116"/>
      <c r="AI5" s="116"/>
      <c r="AJ5" s="117"/>
      <c r="AR5" s="115"/>
      <c r="AS5" s="115"/>
      <c r="AT5" s="115"/>
      <c r="AU5" s="116"/>
      <c r="AV5" s="116"/>
      <c r="AW5" s="117"/>
      <c r="BE5" s="115"/>
      <c r="BF5" s="115"/>
      <c r="BG5" s="115"/>
      <c r="BH5" s="116"/>
      <c r="BI5" s="116"/>
      <c r="BJ5" s="117"/>
      <c r="BR5" s="115"/>
      <c r="BS5" s="115"/>
      <c r="BT5" s="115"/>
      <c r="BU5" s="116"/>
      <c r="BV5" s="116"/>
      <c r="BW5" s="117"/>
      <c r="CE5" s="115"/>
      <c r="CF5" s="115"/>
      <c r="CG5" s="115"/>
      <c r="CH5" s="116"/>
      <c r="CI5" s="116"/>
      <c r="CJ5" s="117"/>
      <c r="CR5" s="115"/>
      <c r="CS5" s="115"/>
      <c r="CT5" s="115"/>
      <c r="CU5" s="116"/>
      <c r="CV5" s="116"/>
      <c r="CW5" s="117"/>
      <c r="DE5" s="115"/>
      <c r="DF5" s="115"/>
      <c r="DG5" s="115"/>
      <c r="DH5" s="116"/>
      <c r="DI5" s="116"/>
      <c r="DJ5" s="117"/>
      <c r="DR5" s="115"/>
      <c r="DS5" s="115"/>
      <c r="DT5" s="115"/>
      <c r="DU5" s="116"/>
      <c r="DV5" s="116"/>
      <c r="DW5" s="117"/>
      <c r="EE5" s="115"/>
      <c r="EF5" s="115"/>
      <c r="EG5" s="115"/>
      <c r="EH5" s="116"/>
      <c r="EI5" s="116"/>
      <c r="EJ5" s="117"/>
      <c r="ER5" s="115"/>
      <c r="ES5" s="115"/>
      <c r="ET5" s="115"/>
      <c r="EU5" s="116"/>
      <c r="EV5" s="116"/>
      <c r="EW5" s="117"/>
      <c r="FE5" s="115"/>
      <c r="FF5" s="115"/>
      <c r="FG5" s="115"/>
      <c r="FH5" s="116"/>
      <c r="FI5" s="116"/>
      <c r="FJ5" s="117"/>
      <c r="FR5" s="115"/>
      <c r="FS5" s="115"/>
      <c r="FT5" s="115"/>
      <c r="FU5" s="116"/>
      <c r="FV5" s="116"/>
      <c r="FW5" s="117"/>
      <c r="GE5" s="115"/>
      <c r="GF5" s="115"/>
      <c r="GG5" s="115"/>
      <c r="GH5" s="116"/>
      <c r="GI5" s="116"/>
      <c r="GJ5" s="117"/>
      <c r="GR5" s="115"/>
      <c r="GS5" s="115"/>
      <c r="GT5" s="115"/>
      <c r="GU5" s="116"/>
      <c r="GV5" s="116"/>
      <c r="GW5" s="117"/>
      <c r="HE5" s="115"/>
      <c r="HF5" s="115"/>
      <c r="HG5" s="115"/>
      <c r="HH5" s="116"/>
      <c r="HI5" s="116"/>
      <c r="HJ5" s="117"/>
      <c r="HR5" s="115"/>
      <c r="HS5" s="115"/>
      <c r="HT5" s="115"/>
      <c r="HU5" s="116"/>
      <c r="HV5" s="116"/>
      <c r="HW5" s="117"/>
      <c r="IE5" s="115"/>
      <c r="IF5" s="115"/>
      <c r="IG5" s="115"/>
      <c r="IH5" s="116"/>
      <c r="II5" s="116"/>
      <c r="IJ5" s="117"/>
    </row>
    <row r="6" spans="1:244" ht="24.75" customHeight="1" x14ac:dyDescent="0.25">
      <c r="A6" s="291" t="s">
        <v>71</v>
      </c>
      <c r="B6" s="291"/>
      <c r="C6" s="291"/>
      <c r="D6" s="291"/>
      <c r="E6" s="291"/>
      <c r="F6" s="291"/>
      <c r="G6" s="291"/>
      <c r="H6" s="291"/>
      <c r="I6" s="291"/>
      <c r="J6" s="291"/>
      <c r="K6" s="291"/>
      <c r="L6" s="291"/>
    </row>
    <row r="7" spans="1:244" ht="24.75" customHeight="1" x14ac:dyDescent="0.25">
      <c r="A7" s="301" t="s">
        <v>72</v>
      </c>
      <c r="B7" s="292" t="s">
        <v>7</v>
      </c>
      <c r="C7" s="293" t="s">
        <v>73</v>
      </c>
      <c r="D7" s="118"/>
      <c r="E7" s="119"/>
      <c r="F7" s="119"/>
      <c r="G7" s="119"/>
      <c r="H7" s="119"/>
      <c r="I7" s="119"/>
      <c r="J7" s="119"/>
      <c r="K7" s="119"/>
      <c r="L7" s="120"/>
    </row>
    <row r="8" spans="1:244" ht="24.75" customHeight="1" x14ac:dyDescent="0.25">
      <c r="A8" s="301"/>
      <c r="B8" s="292"/>
      <c r="C8" s="293"/>
      <c r="D8" s="294" t="s">
        <v>74</v>
      </c>
      <c r="E8" s="294"/>
      <c r="F8" s="294"/>
      <c r="G8" s="294"/>
      <c r="H8" s="294"/>
      <c r="I8" s="294"/>
      <c r="J8" s="294"/>
      <c r="K8" s="294"/>
      <c r="L8" s="294"/>
    </row>
    <row r="9" spans="1:244" ht="24.75" customHeight="1" x14ac:dyDescent="0.25">
      <c r="A9" s="301"/>
      <c r="B9" s="292"/>
      <c r="C9" s="293"/>
      <c r="D9" s="295" t="s">
        <v>75</v>
      </c>
      <c r="E9" s="295"/>
      <c r="F9" s="295"/>
      <c r="G9" s="295"/>
      <c r="H9" s="295"/>
      <c r="I9" s="295"/>
      <c r="J9" s="295"/>
      <c r="K9" s="295"/>
      <c r="L9" s="295"/>
    </row>
    <row r="10" spans="1:244" ht="57" customHeight="1" x14ac:dyDescent="0.25">
      <c r="A10" s="301"/>
      <c r="B10" s="292"/>
      <c r="C10" s="293"/>
      <c r="D10" s="72" t="s">
        <v>76</v>
      </c>
      <c r="E10" s="72" t="s">
        <v>77</v>
      </c>
      <c r="F10" s="72" t="s">
        <v>78</v>
      </c>
      <c r="G10" s="72" t="s">
        <v>79</v>
      </c>
      <c r="H10" s="72" t="s">
        <v>80</v>
      </c>
      <c r="I10" s="121" t="s">
        <v>81</v>
      </c>
      <c r="J10" s="122"/>
      <c r="K10" s="123" t="s">
        <v>82</v>
      </c>
      <c r="L10" s="123" t="s">
        <v>83</v>
      </c>
    </row>
    <row r="11" spans="1:244" ht="33" customHeight="1" x14ac:dyDescent="0.25">
      <c r="A11" s="301"/>
      <c r="B11" s="22" t="s">
        <v>18</v>
      </c>
      <c r="C11" s="39">
        <f>+'Tab.1 valore finanziario D.O.'!K8</f>
        <v>82844.94745800001</v>
      </c>
      <c r="D11" s="124"/>
      <c r="E11" s="124"/>
      <c r="F11" s="125"/>
      <c r="G11" s="125"/>
      <c r="H11" s="126"/>
      <c r="I11" s="125"/>
      <c r="J11" s="127"/>
      <c r="K11" s="128">
        <f>SUM(D11:J11)</f>
        <v>0</v>
      </c>
      <c r="L11" s="129">
        <f>K11*C11</f>
        <v>0</v>
      </c>
    </row>
    <row r="12" spans="1:244" ht="35.25" customHeight="1" x14ac:dyDescent="0.25">
      <c r="A12" s="301"/>
      <c r="B12" s="17" t="s">
        <v>19</v>
      </c>
      <c r="C12" s="39">
        <f>+'Tab.1 valore finanziario D.O.'!K9</f>
        <v>59212.128714916675</v>
      </c>
      <c r="D12" s="28"/>
      <c r="E12" s="28"/>
      <c r="F12" s="127"/>
      <c r="G12" s="125"/>
      <c r="H12" s="28"/>
      <c r="I12" s="125"/>
      <c r="J12" s="127"/>
      <c r="K12" s="128">
        <f>SUM(D12:J12)</f>
        <v>0</v>
      </c>
      <c r="L12" s="129">
        <f>K12*C12</f>
        <v>0</v>
      </c>
    </row>
    <row r="13" spans="1:244" ht="24.75" customHeight="1" x14ac:dyDescent="0.25">
      <c r="A13" s="323"/>
      <c r="B13" s="130"/>
      <c r="C13" s="130"/>
      <c r="D13" s="130"/>
      <c r="E13" s="130"/>
      <c r="F13" s="130"/>
      <c r="G13" s="130"/>
      <c r="H13" s="130"/>
      <c r="I13" s="130"/>
      <c r="J13" s="130"/>
      <c r="K13" s="130"/>
      <c r="L13" s="130"/>
    </row>
    <row r="14" spans="1:244" ht="15" customHeight="1" x14ac:dyDescent="0.25">
      <c r="A14" s="301" t="s">
        <v>84</v>
      </c>
      <c r="B14" s="296" t="s">
        <v>7</v>
      </c>
      <c r="C14" s="297" t="s">
        <v>73</v>
      </c>
      <c r="D14" s="118"/>
      <c r="E14" s="119"/>
      <c r="F14" s="119"/>
      <c r="G14" s="119"/>
      <c r="H14" s="119"/>
      <c r="I14" s="119"/>
      <c r="J14" s="119"/>
      <c r="K14" s="119"/>
      <c r="L14" s="120"/>
    </row>
    <row r="15" spans="1:244" ht="15" customHeight="1" x14ac:dyDescent="0.25">
      <c r="A15" s="301"/>
      <c r="B15" s="296"/>
      <c r="C15" s="297"/>
      <c r="D15" s="294" t="s">
        <v>74</v>
      </c>
      <c r="E15" s="294"/>
      <c r="F15" s="294"/>
      <c r="G15" s="294"/>
      <c r="H15" s="294"/>
      <c r="I15" s="294"/>
      <c r="J15" s="294"/>
      <c r="K15" s="294"/>
      <c r="L15" s="294"/>
    </row>
    <row r="16" spans="1:244" ht="15" customHeight="1" x14ac:dyDescent="0.25">
      <c r="A16" s="301"/>
      <c r="B16" s="296"/>
      <c r="C16" s="297"/>
      <c r="D16" s="295" t="s">
        <v>75</v>
      </c>
      <c r="E16" s="295"/>
      <c r="F16" s="295"/>
      <c r="G16" s="295"/>
      <c r="H16" s="295"/>
      <c r="I16" s="295"/>
      <c r="J16" s="295"/>
      <c r="K16" s="295"/>
      <c r="L16" s="295"/>
    </row>
    <row r="17" spans="1:14" ht="69" customHeight="1" x14ac:dyDescent="0.25">
      <c r="A17" s="301"/>
      <c r="B17" s="296"/>
      <c r="C17" s="297"/>
      <c r="D17" s="72" t="s">
        <v>76</v>
      </c>
      <c r="E17" s="72" t="s">
        <v>77</v>
      </c>
      <c r="F17" s="72" t="s">
        <v>78</v>
      </c>
      <c r="G17" s="72" t="s">
        <v>79</v>
      </c>
      <c r="H17" s="72" t="s">
        <v>80</v>
      </c>
      <c r="I17" s="121" t="s">
        <v>169</v>
      </c>
      <c r="J17" s="122"/>
      <c r="K17" s="123" t="s">
        <v>82</v>
      </c>
      <c r="L17" s="123" t="s">
        <v>83</v>
      </c>
    </row>
    <row r="18" spans="1:14" ht="24.75" customHeight="1" x14ac:dyDescent="0.25">
      <c r="A18" s="301"/>
      <c r="B18" s="132" t="s">
        <v>25</v>
      </c>
      <c r="C18" s="39">
        <f>+'Tab.1 valore finanziario D.O.'!K12</f>
        <v>86372.82</v>
      </c>
      <c r="D18" s="127"/>
      <c r="E18" s="124"/>
      <c r="F18" s="125"/>
      <c r="G18" s="125"/>
      <c r="H18" s="126"/>
      <c r="I18" s="125"/>
      <c r="J18" s="127"/>
      <c r="K18" s="128">
        <f>SUM(D18:J18)</f>
        <v>0</v>
      </c>
      <c r="L18" s="129">
        <f>K18*C18</f>
        <v>0</v>
      </c>
    </row>
    <row r="19" spans="1:14" ht="24" customHeight="1" x14ac:dyDescent="0.25">
      <c r="A19" s="301"/>
      <c r="B19" s="132" t="s">
        <v>26</v>
      </c>
      <c r="C19" s="39">
        <f>+'Tab.1 valore finanziario D.O.'!K13</f>
        <v>67564.91</v>
      </c>
      <c r="D19" s="28"/>
      <c r="E19" s="133"/>
      <c r="F19" s="28"/>
      <c r="G19" s="28"/>
      <c r="H19" s="28"/>
      <c r="I19" s="28">
        <v>1</v>
      </c>
      <c r="J19" s="127"/>
      <c r="K19" s="128">
        <f>SUM(D19:J19)</f>
        <v>1</v>
      </c>
      <c r="L19" s="129">
        <f>K19*C19</f>
        <v>67564.91</v>
      </c>
    </row>
    <row r="20" spans="1:14" ht="14.25" customHeight="1" x14ac:dyDescent="0.25">
      <c r="A20" s="130"/>
      <c r="B20" s="134"/>
      <c r="C20" s="135"/>
      <c r="D20" s="136"/>
      <c r="E20" s="136"/>
      <c r="F20" s="136"/>
      <c r="G20" s="136"/>
      <c r="H20" s="136"/>
      <c r="I20" s="136"/>
      <c r="J20" s="136"/>
      <c r="K20" s="136"/>
      <c r="L20" s="136"/>
    </row>
    <row r="21" spans="1:14" ht="15" customHeight="1" x14ac:dyDescent="0.25">
      <c r="A21" s="298" t="s">
        <v>85</v>
      </c>
      <c r="B21" s="298"/>
      <c r="C21" s="299" t="s">
        <v>73</v>
      </c>
      <c r="D21" s="300"/>
      <c r="E21" s="300"/>
      <c r="F21" s="300"/>
      <c r="G21" s="300"/>
      <c r="H21" s="300"/>
      <c r="I21" s="300"/>
      <c r="J21" s="300"/>
      <c r="K21" s="300"/>
      <c r="L21" s="300"/>
    </row>
    <row r="22" spans="1:14" ht="15" customHeight="1" x14ac:dyDescent="0.25">
      <c r="A22" s="298"/>
      <c r="B22" s="298"/>
      <c r="C22" s="299"/>
      <c r="D22" s="294" t="s">
        <v>74</v>
      </c>
      <c r="E22" s="294"/>
      <c r="F22" s="294"/>
      <c r="G22" s="294"/>
      <c r="H22" s="294"/>
      <c r="I22" s="294"/>
      <c r="J22" s="294"/>
      <c r="K22" s="294"/>
      <c r="L22" s="294"/>
    </row>
    <row r="23" spans="1:14" ht="15" customHeight="1" x14ac:dyDescent="0.25">
      <c r="A23" s="298"/>
      <c r="B23" s="298"/>
      <c r="C23" s="299"/>
      <c r="D23" s="295" t="s">
        <v>75</v>
      </c>
      <c r="E23" s="295"/>
      <c r="F23" s="295"/>
      <c r="G23" s="295"/>
      <c r="H23" s="295"/>
      <c r="I23" s="295"/>
      <c r="J23" s="295"/>
      <c r="K23" s="295"/>
      <c r="L23" s="295"/>
      <c r="N23" s="138"/>
    </row>
    <row r="24" spans="1:14" ht="72.75" customHeight="1" x14ac:dyDescent="0.25">
      <c r="A24" s="298"/>
      <c r="B24" s="298"/>
      <c r="C24" s="299"/>
      <c r="D24" s="26" t="s">
        <v>86</v>
      </c>
      <c r="E24" s="26" t="s">
        <v>77</v>
      </c>
      <c r="F24" s="26" t="s">
        <v>168</v>
      </c>
      <c r="G24" s="26" t="s">
        <v>79</v>
      </c>
      <c r="H24" s="26" t="s">
        <v>87</v>
      </c>
      <c r="I24" s="26" t="s">
        <v>88</v>
      </c>
      <c r="J24" s="139" t="s">
        <v>89</v>
      </c>
      <c r="K24" s="140" t="s">
        <v>82</v>
      </c>
      <c r="L24" s="123" t="s">
        <v>83</v>
      </c>
      <c r="N24" s="72" t="s">
        <v>90</v>
      </c>
    </row>
    <row r="25" spans="1:14" ht="34.5" customHeight="1" x14ac:dyDescent="0.25">
      <c r="A25" s="301" t="s">
        <v>91</v>
      </c>
      <c r="B25" s="301"/>
      <c r="C25" s="25">
        <f>+'Tab.1 valore finanziario D.O.'!K16</f>
        <v>50297.42</v>
      </c>
      <c r="D25" s="141"/>
      <c r="E25" s="142"/>
      <c r="F25" s="141"/>
      <c r="G25" s="141"/>
      <c r="H25" s="141"/>
      <c r="I25" s="122"/>
      <c r="J25" s="143"/>
      <c r="K25" s="128">
        <f>SUM(D25:J25)</f>
        <v>0</v>
      </c>
      <c r="L25" s="129">
        <f>+ROUND(K25*C25,2)</f>
        <v>0</v>
      </c>
      <c r="N25" s="128"/>
    </row>
    <row r="26" spans="1:14" ht="34.5" customHeight="1" x14ac:dyDescent="0.25">
      <c r="A26" s="301" t="s">
        <v>92</v>
      </c>
      <c r="B26" s="301"/>
      <c r="C26" s="144"/>
      <c r="D26" s="145"/>
      <c r="E26" s="146"/>
      <c r="F26" s="147"/>
      <c r="G26" s="147"/>
      <c r="H26" s="147"/>
      <c r="I26" s="122"/>
      <c r="J26" s="148"/>
      <c r="K26" s="128">
        <f>SUM(D26:J26)</f>
        <v>0</v>
      </c>
      <c r="L26" s="129">
        <f>+ROUND(K26*C26,2)</f>
        <v>0</v>
      </c>
      <c r="N26" s="149"/>
    </row>
    <row r="27" spans="1:14" x14ac:dyDescent="0.25">
      <c r="A27" s="50"/>
      <c r="B27" s="50"/>
      <c r="C27" s="50"/>
      <c r="D27" s="50"/>
      <c r="E27" s="50"/>
      <c r="F27" s="50"/>
      <c r="G27" s="50"/>
      <c r="H27" s="50"/>
      <c r="I27" s="50"/>
      <c r="J27" s="150"/>
      <c r="K27" s="151"/>
      <c r="L27" s="151"/>
      <c r="N27" s="152"/>
    </row>
    <row r="28" spans="1:14" ht="34.5" customHeight="1" x14ac:dyDescent="0.25">
      <c r="A28" s="302" t="s">
        <v>93</v>
      </c>
      <c r="B28" s="302"/>
      <c r="C28" s="153">
        <f>+'Tab.1 valore finanziario D.O.'!K19</f>
        <v>36588.17</v>
      </c>
      <c r="D28" s="128"/>
      <c r="E28" s="128">
        <v>84</v>
      </c>
      <c r="F28" s="128"/>
      <c r="G28" s="128"/>
      <c r="H28" s="128"/>
      <c r="I28" s="128">
        <v>4</v>
      </c>
      <c r="J28" s="154"/>
      <c r="K28" s="128">
        <f>SUM(D28:J28)</f>
        <v>88</v>
      </c>
      <c r="L28" s="129">
        <f>+ROUND(K28*C28,2)</f>
        <v>3219758.96</v>
      </c>
      <c r="N28" s="149"/>
    </row>
    <row r="29" spans="1:14" ht="34.5" customHeight="1" x14ac:dyDescent="0.25">
      <c r="A29" s="137" t="s">
        <v>93</v>
      </c>
      <c r="B29" s="155" t="s">
        <v>94</v>
      </c>
      <c r="C29" s="156">
        <f>+C28-C31</f>
        <v>6460.8899999999994</v>
      </c>
      <c r="D29" s="147"/>
      <c r="E29" s="145"/>
      <c r="F29" s="147"/>
      <c r="G29" s="147"/>
      <c r="H29" s="147"/>
      <c r="I29" s="122"/>
      <c r="J29" s="148"/>
      <c r="K29" s="128">
        <f>SUM(D29:J29)</f>
        <v>0</v>
      </c>
      <c r="L29" s="129">
        <f>+ROUND(K29*C29,2)</f>
        <v>0</v>
      </c>
      <c r="N29" s="149"/>
    </row>
    <row r="30" spans="1:14" x14ac:dyDescent="0.25">
      <c r="A30" s="50"/>
      <c r="B30" s="50"/>
      <c r="C30" s="50"/>
      <c r="D30" s="50"/>
      <c r="E30" s="50"/>
      <c r="F30" s="50"/>
      <c r="G30" s="50"/>
      <c r="H30" s="50"/>
      <c r="I30" s="50"/>
      <c r="J30" s="150"/>
      <c r="K30" s="151"/>
      <c r="L30" s="151"/>
      <c r="N30" s="152"/>
    </row>
    <row r="31" spans="1:14" ht="34.5" customHeight="1" x14ac:dyDescent="0.25">
      <c r="A31" s="302" t="s">
        <v>95</v>
      </c>
      <c r="B31" s="302"/>
      <c r="C31" s="153">
        <f>+'Tab.1 valore finanziario D.O.'!K21</f>
        <v>30127.279999999999</v>
      </c>
      <c r="D31" s="128"/>
      <c r="E31" s="128">
        <v>21</v>
      </c>
      <c r="F31" s="128"/>
      <c r="G31" s="128"/>
      <c r="H31" s="128"/>
      <c r="I31" s="122"/>
      <c r="J31" s="154"/>
      <c r="K31" s="128">
        <f>SUM(D31:J31)</f>
        <v>21</v>
      </c>
      <c r="L31" s="129">
        <f>+ROUND(K31*C31,2)</f>
        <v>632672.88</v>
      </c>
      <c r="N31" s="149"/>
    </row>
    <row r="32" spans="1:14" ht="34.5" customHeight="1" x14ac:dyDescent="0.25">
      <c r="A32" s="157" t="s">
        <v>95</v>
      </c>
      <c r="B32" s="155" t="s">
        <v>94</v>
      </c>
      <c r="C32" s="156">
        <f>+C31-C34</f>
        <v>1496.25</v>
      </c>
      <c r="D32" s="158"/>
      <c r="E32" s="147"/>
      <c r="F32" s="147"/>
      <c r="G32" s="147"/>
      <c r="H32" s="147"/>
      <c r="I32" s="122"/>
      <c r="J32" s="148"/>
      <c r="K32" s="128">
        <f>SUM(D32:J32)</f>
        <v>0</v>
      </c>
      <c r="L32" s="129">
        <f>+ROUND(K32*C32,2)</f>
        <v>0</v>
      </c>
      <c r="N32" s="149"/>
    </row>
    <row r="33" spans="1:14" ht="15" customHeight="1" x14ac:dyDescent="0.25">
      <c r="A33" s="50"/>
      <c r="B33" s="50"/>
      <c r="C33" s="50"/>
      <c r="D33" s="50"/>
      <c r="E33" s="50"/>
      <c r="F33" s="50"/>
      <c r="G33" s="50"/>
      <c r="H33" s="50"/>
      <c r="I33" s="50"/>
      <c r="J33" s="150"/>
      <c r="K33" s="151"/>
      <c r="L33" s="151"/>
      <c r="N33" s="152"/>
    </row>
    <row r="34" spans="1:14" ht="34.5" customHeight="1" x14ac:dyDescent="0.25">
      <c r="A34" s="303" t="s">
        <v>96</v>
      </c>
      <c r="B34" s="303"/>
      <c r="C34" s="153">
        <f>+'Tab.1 valore finanziario D.O.'!K23</f>
        <v>28631.03</v>
      </c>
      <c r="D34" s="159"/>
      <c r="E34" s="160"/>
      <c r="F34" s="161"/>
      <c r="G34" s="161"/>
      <c r="H34" s="161"/>
      <c r="I34" s="122"/>
      <c r="J34" s="162"/>
      <c r="K34" s="128">
        <f>SUM(D34:J34)</f>
        <v>0</v>
      </c>
      <c r="L34" s="129">
        <f>+ROUND(K34*C34,2)</f>
        <v>0</v>
      </c>
      <c r="N34" s="149"/>
    </row>
    <row r="35" spans="1:14" x14ac:dyDescent="0.25">
      <c r="A35" s="50"/>
      <c r="B35" s="50"/>
      <c r="C35" s="50"/>
      <c r="D35" s="50"/>
      <c r="E35" s="50"/>
      <c r="F35" s="50"/>
      <c r="G35" s="50"/>
      <c r="H35" s="50"/>
      <c r="I35" s="50"/>
      <c r="J35" s="150"/>
      <c r="K35" s="151"/>
      <c r="L35" s="163"/>
      <c r="N35" s="164"/>
    </row>
    <row r="36" spans="1:14" s="116" customFormat="1" ht="37.5" customHeight="1" x14ac:dyDescent="0.25">
      <c r="A36" s="165"/>
      <c r="B36" s="165"/>
      <c r="C36" s="166" t="s">
        <v>40</v>
      </c>
      <c r="D36" s="167">
        <f t="shared" ref="D36:J36" si="0">+SUM(D18:D34)</f>
        <v>0</v>
      </c>
      <c r="E36" s="167">
        <f t="shared" si="0"/>
        <v>105</v>
      </c>
      <c r="F36" s="167">
        <f t="shared" si="0"/>
        <v>0</v>
      </c>
      <c r="G36" s="167">
        <f t="shared" si="0"/>
        <v>0</v>
      </c>
      <c r="H36" s="167">
        <f t="shared" si="0"/>
        <v>0</v>
      </c>
      <c r="I36" s="168">
        <f t="shared" si="0"/>
        <v>5</v>
      </c>
      <c r="J36" s="168">
        <f t="shared" si="0"/>
        <v>0</v>
      </c>
      <c r="K36" s="168">
        <f>+SUM(K11:K34)</f>
        <v>110</v>
      </c>
      <c r="L36" s="169">
        <f>+SUM(L11:L34)</f>
        <v>3919996.75</v>
      </c>
      <c r="N36" s="168">
        <f>+SUM(N25:N35)</f>
        <v>0</v>
      </c>
    </row>
    <row r="37" spans="1:14" ht="18.75" customHeight="1" x14ac:dyDescent="0.25">
      <c r="B37" s="63"/>
      <c r="C37" s="63"/>
    </row>
    <row r="38" spans="1:14" ht="18.75" customHeight="1" x14ac:dyDescent="0.25">
      <c r="B38" s="63"/>
      <c r="C38" s="63"/>
    </row>
    <row r="39" spans="1:14" ht="18" hidden="1" customHeight="1" x14ac:dyDescent="0.25">
      <c r="A39" s="285" t="s">
        <v>97</v>
      </c>
      <c r="B39" s="285"/>
      <c r="C39" s="285"/>
      <c r="D39" s="285"/>
      <c r="E39" s="285"/>
      <c r="F39" s="285"/>
      <c r="G39" s="285"/>
      <c r="H39" s="285"/>
      <c r="I39" s="285"/>
      <c r="J39" s="285"/>
      <c r="K39" s="285"/>
      <c r="L39" s="285"/>
      <c r="M39" s="285"/>
    </row>
    <row r="40" spans="1:14" ht="15.75" hidden="1" customHeight="1" x14ac:dyDescent="0.25">
      <c r="A40" s="285" t="s">
        <v>98</v>
      </c>
      <c r="B40" s="285"/>
      <c r="C40" s="285"/>
      <c r="D40" s="285"/>
      <c r="E40" s="285"/>
      <c r="F40" s="285"/>
      <c r="G40" s="285"/>
      <c r="H40" s="285"/>
      <c r="I40" s="285"/>
      <c r="J40" s="285"/>
      <c r="K40" s="285"/>
      <c r="L40" s="285"/>
      <c r="M40" s="285"/>
    </row>
    <row r="41" spans="1:14" ht="15.75" hidden="1" customHeight="1" x14ac:dyDescent="0.25">
      <c r="A41" s="285" t="s">
        <v>99</v>
      </c>
      <c r="B41" s="285"/>
      <c r="C41" s="285"/>
      <c r="D41" s="285"/>
      <c r="E41" s="285"/>
      <c r="F41" s="285"/>
      <c r="G41" s="285"/>
      <c r="H41" s="285"/>
      <c r="I41" s="285"/>
      <c r="J41" s="285"/>
      <c r="K41" s="285"/>
      <c r="L41" s="285"/>
      <c r="M41" s="285"/>
    </row>
    <row r="42" spans="1:14" hidden="1" x14ac:dyDescent="0.25"/>
  </sheetData>
  <mergeCells count="30">
    <mergeCell ref="A39:M39"/>
    <mergeCell ref="A40:M40"/>
    <mergeCell ref="A41:M41"/>
    <mergeCell ref="A25:B25"/>
    <mergeCell ref="A26:B26"/>
    <mergeCell ref="A28:B28"/>
    <mergeCell ref="A31:B31"/>
    <mergeCell ref="A34:B34"/>
    <mergeCell ref="A21:B24"/>
    <mergeCell ref="C21:C24"/>
    <mergeCell ref="D21:L21"/>
    <mergeCell ref="D22:L22"/>
    <mergeCell ref="D23:L23"/>
    <mergeCell ref="A14:A19"/>
    <mergeCell ref="B14:B17"/>
    <mergeCell ref="C14:C17"/>
    <mergeCell ref="D15:L15"/>
    <mergeCell ref="D16:L16"/>
    <mergeCell ref="A6:L6"/>
    <mergeCell ref="A7:A12"/>
    <mergeCell ref="B7:B10"/>
    <mergeCell ref="C7:C10"/>
    <mergeCell ref="D8:L8"/>
    <mergeCell ref="D9:L9"/>
    <mergeCell ref="A1:C1"/>
    <mergeCell ref="I1:L1"/>
    <mergeCell ref="A2:C2"/>
    <mergeCell ref="I2:L3"/>
    <mergeCell ref="A3:C3"/>
    <mergeCell ref="D3:E3"/>
  </mergeCells>
  <hyperlinks>
    <hyperlink ref="D3" r:id="rId1" xr:uid="{00000000-0004-0000-0600-000000000000}"/>
  </hyperlinks>
  <pageMargins left="0.54" right="0.54" top="0.33" bottom="0.15763888888888899" header="0.511811023622047" footer="0.36"/>
  <pageSetup paperSize="9" scale="53" orientation="landscape"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ED7D31"/>
    <pageSetUpPr fitToPage="1"/>
  </sheetPr>
  <dimension ref="A1:AMO40"/>
  <sheetViews>
    <sheetView showGridLines="0" zoomScale="80" zoomScaleNormal="80" workbookViewId="0">
      <selection activeCell="A6" sqref="A6:A26"/>
    </sheetView>
  </sheetViews>
  <sheetFormatPr defaultColWidth="8.5703125" defaultRowHeight="15.75" x14ac:dyDescent="0.25"/>
  <cols>
    <col min="1" max="1" width="23.28515625" style="1" customWidth="1"/>
    <col min="2" max="2" width="15.28515625" style="1" customWidth="1"/>
    <col min="3" max="3" width="17" style="1" customWidth="1"/>
    <col min="4" max="4" width="16.5703125" style="1" customWidth="1"/>
    <col min="5" max="5" width="15.85546875" style="1" customWidth="1"/>
    <col min="6" max="10" width="13.28515625" style="1" customWidth="1"/>
    <col min="11" max="11" width="16.7109375" style="1" customWidth="1"/>
    <col min="12" max="12" width="17.5703125" style="1" customWidth="1"/>
    <col min="13" max="16" width="17.42578125" style="110" customWidth="1"/>
    <col min="17" max="19" width="20.7109375" style="110" customWidth="1"/>
    <col min="20" max="20" width="22.42578125" style="110" customWidth="1"/>
    <col min="21" max="21" width="8.5703125" style="1"/>
    <col min="22" max="22" width="12" style="1" customWidth="1"/>
    <col min="23" max="23" width="11.42578125" style="1" customWidth="1"/>
    <col min="24" max="25" width="12" style="1" customWidth="1"/>
    <col min="26" max="261" width="8.5703125" style="1"/>
    <col min="262" max="262" width="20" style="1" customWidth="1"/>
    <col min="263" max="263" width="18.28515625" style="1" customWidth="1"/>
    <col min="264" max="264" width="15.28515625" style="1" customWidth="1"/>
    <col min="265" max="265" width="17.7109375" style="1" customWidth="1"/>
    <col min="266" max="266" width="14.28515625" style="1" customWidth="1"/>
    <col min="267" max="267" width="12.7109375" style="1" customWidth="1"/>
    <col min="268" max="268" width="18.28515625" style="1" customWidth="1"/>
    <col min="269" max="269" width="24.5703125" style="1" customWidth="1"/>
    <col min="270" max="270" width="11.7109375" style="1" customWidth="1"/>
    <col min="271" max="271" width="12.7109375" style="1" customWidth="1"/>
    <col min="272" max="272" width="17.7109375" style="1" customWidth="1"/>
    <col min="273" max="273" width="16.7109375" style="1" customWidth="1"/>
    <col min="274" max="274" width="29.7109375" style="1" customWidth="1"/>
    <col min="275" max="275" width="24.7109375" style="1" customWidth="1"/>
    <col min="276" max="276" width="19.42578125" style="1" customWidth="1"/>
    <col min="277" max="277" width="8.5703125" style="1"/>
    <col min="278" max="278" width="12" style="1" customWidth="1"/>
    <col min="279" max="279" width="11.42578125" style="1" customWidth="1"/>
    <col min="280" max="281" width="12" style="1" customWidth="1"/>
    <col min="282" max="517" width="8.5703125" style="1"/>
    <col min="518" max="518" width="20" style="1" customWidth="1"/>
    <col min="519" max="519" width="18.28515625" style="1" customWidth="1"/>
    <col min="520" max="520" width="15.28515625" style="1" customWidth="1"/>
    <col min="521" max="521" width="17.7109375" style="1" customWidth="1"/>
    <col min="522" max="522" width="14.28515625" style="1" customWidth="1"/>
    <col min="523" max="523" width="12.7109375" style="1" customWidth="1"/>
    <col min="524" max="524" width="18.28515625" style="1" customWidth="1"/>
    <col min="525" max="525" width="24.5703125" style="1" customWidth="1"/>
    <col min="526" max="526" width="11.7109375" style="1" customWidth="1"/>
    <col min="527" max="527" width="12.7109375" style="1" customWidth="1"/>
    <col min="528" max="528" width="17.7109375" style="1" customWidth="1"/>
    <col min="529" max="529" width="16.7109375" style="1" customWidth="1"/>
    <col min="530" max="530" width="29.7109375" style="1" customWidth="1"/>
    <col min="531" max="531" width="24.7109375" style="1" customWidth="1"/>
    <col min="532" max="532" width="19.42578125" style="1" customWidth="1"/>
    <col min="533" max="533" width="8.5703125" style="1"/>
    <col min="534" max="534" width="12" style="1" customWidth="1"/>
    <col min="535" max="535" width="11.42578125" style="1" customWidth="1"/>
    <col min="536" max="537" width="12" style="1" customWidth="1"/>
    <col min="538" max="773" width="8.5703125" style="1"/>
    <col min="774" max="774" width="20" style="1" customWidth="1"/>
    <col min="775" max="775" width="18.28515625" style="1" customWidth="1"/>
    <col min="776" max="776" width="15.28515625" style="1" customWidth="1"/>
    <col min="777" max="777" width="17.7109375" style="1" customWidth="1"/>
    <col min="778" max="778" width="14.28515625" style="1" customWidth="1"/>
    <col min="779" max="779" width="12.7109375" style="1" customWidth="1"/>
    <col min="780" max="780" width="18.28515625" style="1" customWidth="1"/>
    <col min="781" max="781" width="24.5703125" style="1" customWidth="1"/>
    <col min="782" max="782" width="11.7109375" style="1" customWidth="1"/>
    <col min="783" max="783" width="12.7109375" style="1" customWidth="1"/>
    <col min="784" max="784" width="17.7109375" style="1" customWidth="1"/>
    <col min="785" max="785" width="16.7109375" style="1" customWidth="1"/>
    <col min="786" max="786" width="29.7109375" style="1" customWidth="1"/>
    <col min="787" max="787" width="24.7109375" style="1" customWidth="1"/>
    <col min="788" max="788" width="19.42578125" style="1" customWidth="1"/>
    <col min="789" max="789" width="8.5703125" style="1"/>
    <col min="790" max="790" width="12" style="1" customWidth="1"/>
    <col min="791" max="791" width="11.42578125" style="1" customWidth="1"/>
    <col min="792" max="793" width="12" style="1" customWidth="1"/>
    <col min="794" max="1029" width="8.5703125" style="1"/>
  </cols>
  <sheetData>
    <row r="1" spans="1:20" ht="32.25" customHeight="1" x14ac:dyDescent="0.25">
      <c r="A1" s="274" t="s">
        <v>42</v>
      </c>
      <c r="B1" s="274"/>
      <c r="C1" s="274"/>
      <c r="D1" s="65" t="s">
        <v>43</v>
      </c>
      <c r="E1" s="66"/>
      <c r="F1" s="5"/>
      <c r="I1" s="281" t="s">
        <v>1</v>
      </c>
      <c r="J1" s="281"/>
      <c r="K1" s="281"/>
      <c r="L1" s="281"/>
      <c r="M1" s="170" t="s">
        <v>100</v>
      </c>
      <c r="N1" s="263"/>
      <c r="O1" s="263"/>
      <c r="P1" s="263"/>
      <c r="Q1" s="171"/>
      <c r="R1" s="171"/>
      <c r="S1" s="171"/>
      <c r="T1" s="222" t="s">
        <v>162</v>
      </c>
    </row>
    <row r="2" spans="1:20" ht="15.75" customHeight="1" x14ac:dyDescent="0.25">
      <c r="A2" s="277" t="s">
        <v>44</v>
      </c>
      <c r="B2" s="277"/>
      <c r="C2" s="277"/>
      <c r="D2" s="68" t="s">
        <v>45</v>
      </c>
      <c r="E2" s="14"/>
      <c r="F2" s="8"/>
      <c r="H2" s="9"/>
      <c r="I2" s="281" t="s">
        <v>3</v>
      </c>
      <c r="J2" s="281"/>
      <c r="K2" s="281"/>
      <c r="L2" s="281"/>
      <c r="M2" s="172">
        <f>+'Tab. 3.1  Cessati anno 2023'!M22</f>
        <v>3922747.7299999995</v>
      </c>
      <c r="N2" s="173"/>
      <c r="O2" s="173"/>
      <c r="P2" s="173"/>
      <c r="Q2" s="173"/>
      <c r="R2" s="173"/>
      <c r="S2" s="173"/>
      <c r="T2" s="174"/>
    </row>
    <row r="3" spans="1:20" s="1" customFormat="1" ht="15.75" customHeight="1" x14ac:dyDescent="0.25">
      <c r="A3" s="279" t="s">
        <v>46</v>
      </c>
      <c r="B3" s="279" t="s">
        <v>5</v>
      </c>
      <c r="C3" s="279" t="s">
        <v>5</v>
      </c>
      <c r="D3" s="284" t="s">
        <v>47</v>
      </c>
      <c r="E3" s="284"/>
      <c r="F3" s="12"/>
      <c r="I3" s="281"/>
      <c r="J3" s="281"/>
      <c r="K3" s="281"/>
      <c r="L3" s="281"/>
    </row>
    <row r="4" spans="1:20" ht="16.5" customHeight="1" x14ac:dyDescent="0.25">
      <c r="A4" s="13"/>
      <c r="B4" s="13"/>
      <c r="C4" s="13"/>
      <c r="D4" s="13"/>
      <c r="E4" s="13"/>
      <c r="F4" s="13"/>
      <c r="G4" s="13"/>
      <c r="H4" s="13"/>
      <c r="I4" s="13"/>
      <c r="J4" s="13"/>
      <c r="K4" s="13"/>
      <c r="L4" s="13"/>
      <c r="M4" s="175"/>
      <c r="N4" s="175"/>
      <c r="O4" s="175"/>
      <c r="P4" s="175"/>
      <c r="Q4" s="175"/>
      <c r="R4" s="175"/>
      <c r="S4" s="175"/>
      <c r="T4" s="175"/>
    </row>
    <row r="5" spans="1:20" ht="19.5" customHeight="1" x14ac:dyDescent="0.25">
      <c r="A5" s="289" t="s">
        <v>170</v>
      </c>
      <c r="B5" s="289"/>
      <c r="C5" s="289"/>
      <c r="D5" s="289"/>
      <c r="E5" s="289"/>
      <c r="F5" s="289"/>
      <c r="G5" s="289"/>
      <c r="H5" s="289"/>
      <c r="I5" s="289"/>
      <c r="J5" s="289"/>
      <c r="K5" s="289"/>
      <c r="L5" s="289"/>
      <c r="M5" s="289"/>
      <c r="N5" s="304"/>
      <c r="O5" s="304"/>
      <c r="P5" s="304"/>
      <c r="Q5" s="289"/>
      <c r="R5" s="304"/>
      <c r="S5" s="304"/>
      <c r="T5" s="289"/>
    </row>
    <row r="6" spans="1:20" ht="105" customHeight="1" x14ac:dyDescent="0.25">
      <c r="A6" s="301" t="s">
        <v>6</v>
      </c>
      <c r="B6" s="16" t="s">
        <v>7</v>
      </c>
      <c r="C6" s="16" t="s">
        <v>8</v>
      </c>
      <c r="D6" s="16" t="s">
        <v>9</v>
      </c>
      <c r="E6" s="17" t="s">
        <v>10</v>
      </c>
      <c r="F6" s="18"/>
      <c r="G6" s="16" t="s">
        <v>11</v>
      </c>
      <c r="H6" s="19" t="s">
        <v>12</v>
      </c>
      <c r="I6" s="19" t="s">
        <v>13</v>
      </c>
      <c r="J6" s="19" t="s">
        <v>14</v>
      </c>
      <c r="K6" s="20" t="s">
        <v>15</v>
      </c>
      <c r="L6" s="72" t="s">
        <v>101</v>
      </c>
      <c r="M6" s="266" t="s">
        <v>211</v>
      </c>
      <c r="N6" s="253"/>
      <c r="O6" s="253"/>
      <c r="P6" s="253"/>
      <c r="Q6" s="72"/>
      <c r="R6" s="253"/>
      <c r="S6" s="253"/>
      <c r="T6" s="73" t="s">
        <v>102</v>
      </c>
    </row>
    <row r="7" spans="1:20" ht="31.5" x14ac:dyDescent="0.25">
      <c r="A7" s="301"/>
      <c r="B7" s="22" t="s">
        <v>18</v>
      </c>
      <c r="C7" s="229">
        <v>42199.62</v>
      </c>
      <c r="D7" s="229">
        <v>12155.3</v>
      </c>
      <c r="E7" s="228">
        <f>+(C7+D7)/12</f>
        <v>4529.5766666666668</v>
      </c>
      <c r="F7" s="18"/>
      <c r="G7" s="23">
        <f>+C7+D7+E7</f>
        <v>58884.496666666666</v>
      </c>
      <c r="H7" s="24">
        <f>+(C7+C7/12)*27.83%+(D7+D7/12)*24.2%</f>
        <v>15909.548249833335</v>
      </c>
      <c r="I7" s="24">
        <f>+G7*8.5%</f>
        <v>5005.182216666667</v>
      </c>
      <c r="J7" s="24">
        <f>+(C7+C7/12)*5.68%+(D7+D7/12)*3.41%</f>
        <v>3045.7203248333335</v>
      </c>
      <c r="K7" s="74">
        <f>+G7+H7+I7+J7</f>
        <v>82844.94745800001</v>
      </c>
      <c r="L7" s="28"/>
      <c r="M7" s="28"/>
      <c r="N7" s="254"/>
      <c r="O7" s="254"/>
      <c r="P7" s="254"/>
      <c r="Q7" s="28"/>
      <c r="R7" s="254"/>
      <c r="S7" s="254"/>
      <c r="T7" s="176">
        <f>+ROUND(+(L7+M7+Q7+N7+O7+P7+R7+S7)*K7,2)</f>
        <v>0</v>
      </c>
    </row>
    <row r="8" spans="1:20" ht="31.5" x14ac:dyDescent="0.25">
      <c r="A8" s="301"/>
      <c r="B8" s="17" t="s">
        <v>19</v>
      </c>
      <c r="C8" s="229">
        <v>27822.22</v>
      </c>
      <c r="D8" s="229">
        <v>11128.51</v>
      </c>
      <c r="E8" s="228">
        <f>+(C8+D8)/12</f>
        <v>3245.8941666666669</v>
      </c>
      <c r="F8" s="18"/>
      <c r="G8" s="23">
        <f>+C8+D8+E8</f>
        <v>42196.624166666668</v>
      </c>
      <c r="H8" s="24">
        <f>+(C8+C8/12)*27.83%+(D8+D8/12)*24.2%</f>
        <v>11305.691849833333</v>
      </c>
      <c r="I8" s="24">
        <f>+G8*8.5%</f>
        <v>3586.713054166667</v>
      </c>
      <c r="J8" s="24">
        <f>+(C8+C8/12)*5.68%+(D8+D8/12)*3.41%</f>
        <v>2123.09964425</v>
      </c>
      <c r="K8" s="74">
        <f>+G8+H8+I8+J8</f>
        <v>59212.128714916675</v>
      </c>
      <c r="L8" s="28"/>
      <c r="M8" s="28">
        <v>1</v>
      </c>
      <c r="N8" s="254"/>
      <c r="O8" s="254"/>
      <c r="P8" s="254"/>
      <c r="Q8" s="28"/>
      <c r="R8" s="254"/>
      <c r="S8" s="254"/>
      <c r="T8" s="176">
        <f>+ROUND(+(L8+M8+Q8+N8+O8+P8+R8+S8)*K8,2)</f>
        <v>59212.13</v>
      </c>
    </row>
    <row r="9" spans="1:20" ht="19.5" customHeight="1" x14ac:dyDescent="0.25">
      <c r="A9" s="322"/>
      <c r="B9" s="29"/>
      <c r="C9" s="29"/>
      <c r="D9" s="29"/>
      <c r="E9" s="29"/>
      <c r="F9" s="29"/>
      <c r="G9" s="29"/>
      <c r="H9" s="29"/>
      <c r="I9" s="29"/>
      <c r="J9" s="29"/>
      <c r="K9" s="29"/>
      <c r="L9" s="29"/>
      <c r="M9" s="29"/>
      <c r="N9" s="255"/>
      <c r="O9" s="255"/>
      <c r="P9" s="255"/>
      <c r="Q9" s="29"/>
      <c r="R9" s="255"/>
      <c r="S9" s="255"/>
      <c r="T9" s="29"/>
    </row>
    <row r="10" spans="1:20" ht="94.5" x14ac:dyDescent="0.25">
      <c r="A10" s="298" t="s">
        <v>20</v>
      </c>
      <c r="B10" s="16" t="s">
        <v>7</v>
      </c>
      <c r="C10" s="16" t="s">
        <v>21</v>
      </c>
      <c r="D10" s="16" t="s">
        <v>22</v>
      </c>
      <c r="E10" s="16"/>
      <c r="F10" s="16"/>
      <c r="G10" s="16" t="s">
        <v>11</v>
      </c>
      <c r="H10" s="16" t="s">
        <v>60</v>
      </c>
      <c r="I10" s="16" t="s">
        <v>61</v>
      </c>
      <c r="J10" s="16" t="s">
        <v>62</v>
      </c>
      <c r="K10" s="71" t="s">
        <v>15</v>
      </c>
      <c r="L10" s="72" t="s">
        <v>101</v>
      </c>
      <c r="M10" s="265" t="s">
        <v>214</v>
      </c>
      <c r="N10" s="265" t="s">
        <v>212</v>
      </c>
      <c r="O10" s="265" t="s">
        <v>210</v>
      </c>
      <c r="P10" s="265" t="s">
        <v>213</v>
      </c>
      <c r="Q10" s="72"/>
      <c r="R10" s="253"/>
      <c r="S10" s="253"/>
      <c r="T10" s="73" t="s">
        <v>102</v>
      </c>
    </row>
    <row r="11" spans="1:20" ht="18" customHeight="1" x14ac:dyDescent="0.25">
      <c r="A11" s="298"/>
      <c r="B11" s="34" t="s">
        <v>25</v>
      </c>
      <c r="C11" s="35">
        <v>60102.87</v>
      </c>
      <c r="D11" s="36">
        <v>2314.2600000000002</v>
      </c>
      <c r="E11" s="2"/>
      <c r="F11" s="18"/>
      <c r="G11" s="37">
        <f>+C11+D11</f>
        <v>62417.130000000005</v>
      </c>
      <c r="H11" s="38">
        <f>G11*24.2%</f>
        <v>15104.945460000001</v>
      </c>
      <c r="I11" s="38">
        <f>G11*7.1%*80%</f>
        <v>3545.2929839999997</v>
      </c>
      <c r="J11" s="38">
        <f>G11*8.5%</f>
        <v>5305.4560500000007</v>
      </c>
      <c r="K11" s="39">
        <f>+ROUND(+G11+H11+I11+J11,2)</f>
        <v>86372.82</v>
      </c>
      <c r="L11" s="177"/>
      <c r="M11" s="177"/>
      <c r="N11" s="256"/>
      <c r="O11" s="256"/>
      <c r="P11" s="256"/>
      <c r="Q11" s="177"/>
      <c r="R11" s="256"/>
      <c r="S11" s="256"/>
      <c r="T11" s="176">
        <f>+ROUND(+(L11+M11+Q11+N11+O11+P11+R11+S11)*K11,2)</f>
        <v>0</v>
      </c>
    </row>
    <row r="12" spans="1:20" ht="18" customHeight="1" x14ac:dyDescent="0.25">
      <c r="A12" s="298"/>
      <c r="B12" s="34" t="s">
        <v>26</v>
      </c>
      <c r="C12" s="35">
        <v>47015.77</v>
      </c>
      <c r="D12" s="36">
        <v>1809.86</v>
      </c>
      <c r="E12" s="43"/>
      <c r="F12" s="18"/>
      <c r="G12" s="37">
        <f>+C12+D12</f>
        <v>48825.63</v>
      </c>
      <c r="H12" s="38">
        <f>G12*24.2%</f>
        <v>11815.802459999999</v>
      </c>
      <c r="I12" s="38">
        <f>G12*7.1%*80%</f>
        <v>2773.2957839999999</v>
      </c>
      <c r="J12" s="38">
        <f>G12*8.5%</f>
        <v>4150.1785499999996</v>
      </c>
      <c r="K12" s="39">
        <f>+ROUND(+G12+H12+I12+J12,2)</f>
        <v>67564.91</v>
      </c>
      <c r="L12" s="178">
        <v>1</v>
      </c>
      <c r="M12" s="178">
        <v>2</v>
      </c>
      <c r="N12" s="258">
        <v>1</v>
      </c>
      <c r="O12" s="258">
        <v>2</v>
      </c>
      <c r="P12" s="258">
        <v>1</v>
      </c>
      <c r="Q12" s="177"/>
      <c r="R12" s="256"/>
      <c r="S12" s="256"/>
      <c r="T12" s="176">
        <f>+ROUND(+(L12+M12+Q12+N12+O12+P12+R12+S12)*K12,2)</f>
        <v>472954.37</v>
      </c>
    </row>
    <row r="13" spans="1:20" ht="15" customHeight="1" x14ac:dyDescent="0.25">
      <c r="A13" s="322"/>
      <c r="B13" s="30"/>
      <c r="C13" s="93"/>
      <c r="D13" s="93"/>
      <c r="E13" s="93"/>
      <c r="F13" s="93"/>
      <c r="G13" s="93"/>
      <c r="H13" s="93"/>
      <c r="I13" s="93"/>
      <c r="J13" s="93"/>
      <c r="K13" s="93"/>
      <c r="L13" s="179"/>
      <c r="M13" s="179"/>
      <c r="N13" s="257"/>
      <c r="O13" s="257"/>
      <c r="P13" s="257"/>
      <c r="Q13" s="179"/>
      <c r="R13" s="257"/>
      <c r="S13" s="257"/>
      <c r="T13" s="93"/>
    </row>
    <row r="14" spans="1:20" ht="94.5" x14ac:dyDescent="0.25">
      <c r="A14" s="301" t="s">
        <v>27</v>
      </c>
      <c r="B14" s="44"/>
      <c r="C14" s="16" t="s">
        <v>28</v>
      </c>
      <c r="D14" s="16" t="s">
        <v>22</v>
      </c>
      <c r="E14" s="16" t="s">
        <v>29</v>
      </c>
      <c r="F14" s="16" t="s">
        <v>30</v>
      </c>
      <c r="G14" s="16" t="s">
        <v>31</v>
      </c>
      <c r="H14" s="16" t="s">
        <v>32</v>
      </c>
      <c r="I14" s="16"/>
      <c r="J14" s="16"/>
      <c r="K14" s="71" t="s">
        <v>52</v>
      </c>
      <c r="L14" s="178" t="s">
        <v>207</v>
      </c>
      <c r="M14" s="178" t="s">
        <v>103</v>
      </c>
      <c r="N14" s="258"/>
      <c r="O14" s="258"/>
      <c r="P14" s="258"/>
      <c r="Q14" s="178"/>
      <c r="R14" s="258"/>
      <c r="S14" s="258"/>
      <c r="T14" s="73" t="s">
        <v>102</v>
      </c>
    </row>
    <row r="15" spans="1:20" ht="18" customHeight="1" x14ac:dyDescent="0.25">
      <c r="A15" s="301"/>
      <c r="B15" s="43" t="s">
        <v>104</v>
      </c>
      <c r="C15" s="45">
        <v>35000</v>
      </c>
      <c r="D15" s="45">
        <v>1347.32</v>
      </c>
      <c r="E15" s="45"/>
      <c r="F15" s="45"/>
      <c r="G15" s="45">
        <f>+C15+D15+E15+F15</f>
        <v>36347.32</v>
      </c>
      <c r="H15" s="45">
        <f>+(C15+D15+E15)*38.38%+(F15*32.7%)</f>
        <v>13950.101416000001</v>
      </c>
      <c r="I15" s="46"/>
      <c r="J15" s="45"/>
      <c r="K15" s="39">
        <f>+ROUND(+G15+H15+I15+J15,2)</f>
        <v>50297.42</v>
      </c>
      <c r="L15" s="47"/>
      <c r="M15" s="47"/>
      <c r="N15" s="264"/>
      <c r="O15" s="264"/>
      <c r="P15" s="264"/>
      <c r="Q15" s="180"/>
      <c r="R15" s="259"/>
      <c r="S15" s="259"/>
      <c r="T15" s="176">
        <f>+ROUND(+(L15+M15+Q15+N15+O15+P15+R15+S15)*K15,2)</f>
        <v>0</v>
      </c>
    </row>
    <row r="16" spans="1:20" ht="18" customHeight="1" x14ac:dyDescent="0.25">
      <c r="A16" s="301"/>
      <c r="B16" s="43" t="s">
        <v>105</v>
      </c>
      <c r="C16" s="16"/>
      <c r="D16" s="16"/>
      <c r="E16" s="16"/>
      <c r="F16" s="16"/>
      <c r="G16" s="16"/>
      <c r="H16" s="16"/>
      <c r="I16" s="16"/>
      <c r="J16" s="16"/>
      <c r="K16" s="39"/>
      <c r="L16" s="180"/>
      <c r="M16" s="180"/>
      <c r="N16" s="259"/>
      <c r="O16" s="259"/>
      <c r="P16" s="259"/>
      <c r="Q16" s="180"/>
      <c r="R16" s="259"/>
      <c r="S16" s="259"/>
      <c r="T16" s="176">
        <f>+ROUND(+(L16+M16+Q16+N16+O16+P16+R16+S16)*K16,2)</f>
        <v>0</v>
      </c>
    </row>
    <row r="17" spans="1:26" ht="15" customHeight="1" x14ac:dyDescent="0.25">
      <c r="A17" s="301"/>
      <c r="B17" s="30"/>
      <c r="C17" s="93"/>
      <c r="D17" s="93"/>
      <c r="E17" s="93"/>
      <c r="F17" s="93"/>
      <c r="G17" s="93"/>
      <c r="H17" s="93"/>
      <c r="I17" s="93"/>
      <c r="J17" s="93"/>
      <c r="K17" s="93"/>
      <c r="L17" s="179"/>
      <c r="M17" s="179"/>
      <c r="N17" s="257"/>
      <c r="O17" s="257"/>
      <c r="P17" s="257"/>
      <c r="Q17" s="179"/>
      <c r="R17" s="257"/>
      <c r="S17" s="257"/>
      <c r="T17" s="93"/>
    </row>
    <row r="18" spans="1:26" ht="114" customHeight="1" x14ac:dyDescent="0.25">
      <c r="A18" s="301"/>
      <c r="B18" s="44"/>
      <c r="C18" s="16" t="s">
        <v>33</v>
      </c>
      <c r="D18" s="16" t="s">
        <v>34</v>
      </c>
      <c r="E18" s="16" t="s">
        <v>54</v>
      </c>
      <c r="F18" s="16" t="s">
        <v>35</v>
      </c>
      <c r="G18" s="16" t="s">
        <v>36</v>
      </c>
      <c r="H18" s="16" t="s">
        <v>60</v>
      </c>
      <c r="I18" s="16" t="s">
        <v>64</v>
      </c>
      <c r="J18" s="16" t="s">
        <v>65</v>
      </c>
      <c r="K18" s="71" t="s">
        <v>55</v>
      </c>
      <c r="L18" s="178" t="s">
        <v>228</v>
      </c>
      <c r="M18" s="265" t="s">
        <v>221</v>
      </c>
      <c r="N18" s="265" t="s">
        <v>210</v>
      </c>
      <c r="O18" s="265" t="s">
        <v>222</v>
      </c>
      <c r="P18" s="265" t="s">
        <v>223</v>
      </c>
      <c r="Q18" s="268" t="s">
        <v>226</v>
      </c>
      <c r="R18" s="271" t="s">
        <v>215</v>
      </c>
      <c r="S18" s="271" t="s">
        <v>216</v>
      </c>
      <c r="T18" s="73" t="s">
        <v>102</v>
      </c>
    </row>
    <row r="19" spans="1:26" ht="18" customHeight="1" x14ac:dyDescent="0.25">
      <c r="A19" s="301"/>
      <c r="B19" s="43" t="s">
        <v>37</v>
      </c>
      <c r="C19" s="181">
        <v>23501.93</v>
      </c>
      <c r="D19" s="182">
        <v>904.56</v>
      </c>
      <c r="E19" s="182"/>
      <c r="F19" s="183">
        <f>+ROUND((C19+D19+E19)/12,2)</f>
        <v>2033.87</v>
      </c>
      <c r="G19" s="92">
        <f>+F19+D19+C19+E19</f>
        <v>26440.36</v>
      </c>
      <c r="H19" s="184">
        <f>G19*24.2%</f>
        <v>6398.5671199999997</v>
      </c>
      <c r="I19" s="184">
        <f>G19*7.1%*80%</f>
        <v>1501.8124479999999</v>
      </c>
      <c r="J19" s="184">
        <f>G19*8.5%</f>
        <v>2247.4306000000001</v>
      </c>
      <c r="K19" s="39">
        <f>+ROUND(+G19+H19+I19+J19,2)</f>
        <v>36588.17</v>
      </c>
      <c r="L19" s="178">
        <v>88</v>
      </c>
      <c r="M19" s="178">
        <v>46</v>
      </c>
      <c r="N19" s="258">
        <f>45+8</f>
        <v>53</v>
      </c>
      <c r="O19" s="258"/>
      <c r="P19" s="258"/>
      <c r="Q19" s="178">
        <f>421+8+57</f>
        <v>486</v>
      </c>
      <c r="R19" s="258">
        <v>40</v>
      </c>
      <c r="S19" s="258"/>
      <c r="T19" s="176">
        <f>+ROUND(+(L19+M19+Q19+N19+O19+P19+R19+S19)*K19,2)</f>
        <v>26087365.210000001</v>
      </c>
      <c r="V19" s="252"/>
      <c r="X19" s="252"/>
      <c r="Z19" s="252"/>
    </row>
    <row r="20" spans="1:26" ht="18" customHeight="1" x14ac:dyDescent="0.25">
      <c r="A20" s="301"/>
      <c r="B20" s="43" t="s">
        <v>106</v>
      </c>
      <c r="C20" s="184"/>
      <c r="D20" s="184"/>
      <c r="E20" s="184"/>
      <c r="F20" s="184"/>
      <c r="G20" s="184"/>
      <c r="H20" s="184"/>
      <c r="I20" s="184"/>
      <c r="J20" s="184"/>
      <c r="K20" s="78">
        <f>+K19-K22</f>
        <v>6460.8899999999994</v>
      </c>
      <c r="L20" s="178"/>
      <c r="M20" s="177"/>
      <c r="N20" s="256"/>
      <c r="O20" s="256"/>
      <c r="P20" s="256"/>
      <c r="Q20" s="177"/>
      <c r="R20" s="256"/>
      <c r="S20" s="256"/>
      <c r="T20" s="176">
        <f>+ROUND(+(L20+M20+Q20+N20+O20+P20+R20+S20)*K20,2)</f>
        <v>0</v>
      </c>
    </row>
    <row r="21" spans="1:26" ht="15" customHeight="1" x14ac:dyDescent="0.25">
      <c r="A21" s="301"/>
      <c r="B21" s="50"/>
      <c r="C21" s="81"/>
      <c r="D21" s="185"/>
      <c r="E21" s="185"/>
      <c r="F21" s="81"/>
      <c r="G21" s="81"/>
      <c r="H21" s="81"/>
      <c r="I21" s="81"/>
      <c r="J21" s="81"/>
      <c r="K21" s="81"/>
      <c r="L21" s="53"/>
      <c r="M21" s="186"/>
      <c r="N21" s="260"/>
      <c r="O21" s="260"/>
      <c r="P21" s="260"/>
      <c r="Q21" s="186"/>
      <c r="R21" s="260"/>
      <c r="S21" s="260"/>
      <c r="T21" s="81"/>
    </row>
    <row r="22" spans="1:26" ht="18" customHeight="1" x14ac:dyDescent="0.25">
      <c r="A22" s="301"/>
      <c r="B22" s="43" t="s">
        <v>38</v>
      </c>
      <c r="C22" s="181">
        <v>19351.97</v>
      </c>
      <c r="D22" s="182">
        <v>744.72</v>
      </c>
      <c r="E22" s="182"/>
      <c r="F22" s="183">
        <f>+ROUND((C22+D22+E22)/12,2)</f>
        <v>1674.72</v>
      </c>
      <c r="G22" s="92">
        <f>+F22+D22+C22+E22</f>
        <v>21771.41</v>
      </c>
      <c r="H22" s="184">
        <f>G22*24.2%</f>
        <v>5268.6812199999995</v>
      </c>
      <c r="I22" s="184">
        <f>G22*7.1%*80%</f>
        <v>1236.616088</v>
      </c>
      <c r="J22" s="184">
        <f>G22*8.5%</f>
        <v>1850.5698500000001</v>
      </c>
      <c r="K22" s="39">
        <f>+ROUND(+G22+H22+I22+J22,2)</f>
        <v>30127.279999999999</v>
      </c>
      <c r="L22" s="178">
        <v>21</v>
      </c>
      <c r="M22" s="178">
        <v>16</v>
      </c>
      <c r="N22" s="258">
        <v>29</v>
      </c>
      <c r="O22" s="258">
        <v>25</v>
      </c>
      <c r="P22" s="258">
        <v>7</v>
      </c>
      <c r="Q22" s="178">
        <v>68</v>
      </c>
      <c r="R22" s="258"/>
      <c r="S22" s="258">
        <v>16</v>
      </c>
      <c r="T22" s="176">
        <f>+ROUND(+(L22+M22+Q22+N22+O22+P22+R22+S22)*K22,2)</f>
        <v>5483164.96</v>
      </c>
      <c r="V22" s="252"/>
      <c r="X22" s="252"/>
      <c r="Z22" s="252"/>
    </row>
    <row r="23" spans="1:26" ht="18" customHeight="1" x14ac:dyDescent="0.25">
      <c r="A23" s="301"/>
      <c r="B23" s="43" t="s">
        <v>107</v>
      </c>
      <c r="C23" s="181"/>
      <c r="D23" s="182"/>
      <c r="E23" s="182"/>
      <c r="F23" s="183"/>
      <c r="G23" s="92"/>
      <c r="H23" s="184"/>
      <c r="I23" s="184"/>
      <c r="J23" s="184"/>
      <c r="K23" s="78">
        <f>+K22-K25</f>
        <v>1496.25</v>
      </c>
      <c r="L23" s="178"/>
      <c r="M23" s="177"/>
      <c r="N23" s="256"/>
      <c r="O23" s="256"/>
      <c r="P23" s="256"/>
      <c r="Q23" s="177"/>
      <c r="R23" s="256"/>
      <c r="S23" s="256"/>
      <c r="T23" s="176">
        <f>+ROUND(+(L23+M23+Q23+N23+O23+P23+R23+S23)*K23,2)</f>
        <v>0</v>
      </c>
    </row>
    <row r="24" spans="1:26" ht="15" customHeight="1" x14ac:dyDescent="0.25">
      <c r="A24" s="301"/>
      <c r="B24" s="56"/>
      <c r="C24" s="185"/>
      <c r="D24" s="83"/>
      <c r="E24" s="185"/>
      <c r="F24" s="185"/>
      <c r="G24" s="81"/>
      <c r="H24" s="83"/>
      <c r="I24" s="83"/>
      <c r="J24" s="83"/>
      <c r="K24" s="83"/>
      <c r="L24" s="58"/>
      <c r="M24" s="187"/>
      <c r="N24" s="261"/>
      <c r="O24" s="261"/>
      <c r="P24" s="261"/>
      <c r="Q24" s="187"/>
      <c r="R24" s="261"/>
      <c r="S24" s="261"/>
      <c r="T24" s="83"/>
    </row>
    <row r="25" spans="1:26" ht="18" customHeight="1" x14ac:dyDescent="0.25">
      <c r="A25" s="301"/>
      <c r="B25" s="43" t="s">
        <v>39</v>
      </c>
      <c r="C25" s="181">
        <v>18390.84</v>
      </c>
      <c r="D25" s="182">
        <v>707.76</v>
      </c>
      <c r="E25" s="182"/>
      <c r="F25" s="183">
        <f>+ROUND((C25+D25+E25)/12,2)</f>
        <v>1591.55</v>
      </c>
      <c r="G25" s="92">
        <f>+F25+D25+C25+E25</f>
        <v>20690.150000000001</v>
      </c>
      <c r="H25" s="184">
        <f>G25*24.2%</f>
        <v>5007.0163000000002</v>
      </c>
      <c r="I25" s="184">
        <f>G25*7.1%*80%</f>
        <v>1175.2005200000001</v>
      </c>
      <c r="J25" s="184">
        <f>G25*8.5%</f>
        <v>1758.6627500000002</v>
      </c>
      <c r="K25" s="39">
        <f>+ROUND(+G25+H25+I25+J25,2)</f>
        <v>28631.03</v>
      </c>
      <c r="L25" s="178"/>
      <c r="M25" s="177"/>
      <c r="N25" s="256"/>
      <c r="O25" s="256"/>
      <c r="P25" s="256"/>
      <c r="Q25" s="177"/>
      <c r="R25" s="256"/>
      <c r="S25" s="256"/>
      <c r="T25" s="176">
        <f>+ROUND(+(L25+M25+Q25+N25+O25+P25+R25+S25)*K25,2)</f>
        <v>0</v>
      </c>
    </row>
    <row r="26" spans="1:26" ht="15" customHeight="1" x14ac:dyDescent="0.25">
      <c r="A26" s="301"/>
      <c r="B26" s="50"/>
      <c r="C26" s="81"/>
      <c r="D26" s="185"/>
      <c r="E26" s="185"/>
      <c r="F26" s="81"/>
      <c r="G26" s="81"/>
      <c r="H26" s="83"/>
      <c r="I26" s="83"/>
      <c r="J26" s="83"/>
      <c r="K26" s="83"/>
      <c r="L26" s="187"/>
      <c r="M26" s="187"/>
      <c r="N26" s="261"/>
      <c r="O26" s="261"/>
      <c r="P26" s="261"/>
      <c r="Q26" s="187"/>
      <c r="R26" s="261"/>
      <c r="S26" s="261"/>
      <c r="T26" s="83"/>
    </row>
    <row r="27" spans="1:26" ht="33.75" customHeight="1" x14ac:dyDescent="0.3">
      <c r="D27" s="2"/>
      <c r="E27" s="2"/>
      <c r="J27" s="2"/>
      <c r="K27" s="188" t="s">
        <v>40</v>
      </c>
      <c r="L27" s="189">
        <f>+SUM(L7:L26)</f>
        <v>110</v>
      </c>
      <c r="M27" s="189">
        <f>+SUM(M7:M26)</f>
        <v>65</v>
      </c>
      <c r="N27" s="189">
        <f t="shared" ref="N27:P27" si="0">+SUM(N7:N26)</f>
        <v>83</v>
      </c>
      <c r="O27" s="189">
        <f>+SUM(O7:O26)</f>
        <v>27</v>
      </c>
      <c r="P27" s="189">
        <f t="shared" si="0"/>
        <v>8</v>
      </c>
      <c r="Q27" s="189">
        <f>+SUM(Q7:Q26)</f>
        <v>554</v>
      </c>
      <c r="R27" s="189">
        <f>+SUM(R7:R26)</f>
        <v>40</v>
      </c>
      <c r="S27" s="189">
        <f>+SUM(S7:S26)</f>
        <v>16</v>
      </c>
      <c r="T27" s="190">
        <f>+SUM(T7:T26)</f>
        <v>32102696.670000002</v>
      </c>
    </row>
    <row r="28" spans="1:26" ht="24" customHeight="1" x14ac:dyDescent="0.3">
      <c r="A28" s="272" t="s">
        <v>229</v>
      </c>
      <c r="L28" s="110"/>
      <c r="M28" s="251"/>
      <c r="N28" s="251"/>
      <c r="O28" s="251"/>
      <c r="P28" s="251"/>
      <c r="Q28" s="1"/>
      <c r="R28" s="1"/>
      <c r="S28" s="1"/>
      <c r="T28" s="191" t="s">
        <v>108</v>
      </c>
    </row>
    <row r="29" spans="1:26" ht="48" customHeight="1" x14ac:dyDescent="0.25">
      <c r="L29" s="110"/>
      <c r="Q29" s="192" t="s">
        <v>109</v>
      </c>
      <c r="R29" s="262"/>
      <c r="S29" s="262"/>
      <c r="T29" s="193">
        <f>+ROUND(+($L$11*$K$11)+($K$12*$L$12)+($K$19*$L$19)+($K$20*$L$20)+($K$22*$L$22)+($K$23*$L$23)+($K$25*$L$25)+($K$15*$L$15)+($K$16*$L$16)+($K$8*$L$8)+($K$7*$L$7),2)</f>
        <v>3919996.75</v>
      </c>
    </row>
    <row r="30" spans="1:26" ht="46.5" customHeight="1" x14ac:dyDescent="0.25">
      <c r="L30" s="110"/>
      <c r="Q30" s="192" t="s">
        <v>110</v>
      </c>
      <c r="R30" s="262"/>
      <c r="S30" s="262"/>
      <c r="T30" s="193">
        <f>ROUND(((M19+N19+O19+P19)*K19)+((M22+N22+O22+P22)*K22)+((M12+N12+O12+P12)*K12)+((M8+N8+O8+P8)*K8),2)</f>
        <v>6406630.9800000004</v>
      </c>
    </row>
    <row r="31" spans="1:26" ht="48.75" customHeight="1" x14ac:dyDescent="0.25">
      <c r="E31" s="89"/>
      <c r="F31" s="89"/>
      <c r="G31" s="89"/>
      <c r="H31" s="89"/>
      <c r="I31" s="89"/>
      <c r="J31" s="89"/>
      <c r="K31" s="89"/>
      <c r="L31" s="110"/>
      <c r="Q31" s="192" t="s">
        <v>111</v>
      </c>
      <c r="R31" s="262"/>
      <c r="S31" s="262"/>
      <c r="T31" s="193">
        <f>ROUND(((Q19+R19+S19)*K19)+((Q22+R22+S22)*K22),2)</f>
        <v>21776068.940000001</v>
      </c>
    </row>
    <row r="33" spans="1:20" ht="20.25" x14ac:dyDescent="0.25">
      <c r="A33" s="305" t="s">
        <v>41</v>
      </c>
      <c r="B33" s="305"/>
      <c r="C33" s="305"/>
      <c r="D33" s="305"/>
      <c r="E33" s="305"/>
      <c r="F33" s="305"/>
      <c r="G33" s="305"/>
      <c r="H33" s="305"/>
      <c r="I33" s="305"/>
      <c r="J33" s="305"/>
      <c r="K33" s="305"/>
      <c r="L33" s="305"/>
      <c r="M33" s="305"/>
      <c r="N33" s="306"/>
      <c r="O33" s="306"/>
      <c r="P33" s="306"/>
      <c r="Q33" s="305"/>
      <c r="R33" s="306"/>
      <c r="S33" s="306"/>
      <c r="T33" s="305"/>
    </row>
    <row r="34" spans="1:20" ht="21" customHeight="1" x14ac:dyDescent="0.25">
      <c r="A34" s="307" t="s">
        <v>112</v>
      </c>
      <c r="B34" s="307"/>
      <c r="C34" s="307"/>
      <c r="D34" s="307"/>
      <c r="E34" s="307"/>
      <c r="F34" s="307"/>
      <c r="G34" s="307"/>
      <c r="H34" s="307"/>
      <c r="I34" s="307"/>
      <c r="J34" s="307"/>
      <c r="K34" s="307"/>
      <c r="L34" s="307"/>
      <c r="M34" s="307"/>
      <c r="N34" s="308"/>
      <c r="O34" s="308"/>
      <c r="P34" s="308"/>
      <c r="Q34" s="307"/>
      <c r="R34" s="308"/>
      <c r="S34" s="308"/>
      <c r="T34" s="307"/>
    </row>
    <row r="35" spans="1:20" ht="21" customHeight="1" x14ac:dyDescent="0.25">
      <c r="A35" s="307" t="s">
        <v>113</v>
      </c>
      <c r="B35" s="307"/>
      <c r="C35" s="307"/>
      <c r="D35" s="307"/>
      <c r="E35" s="307"/>
      <c r="F35" s="307"/>
      <c r="G35" s="307"/>
      <c r="H35" s="307"/>
      <c r="I35" s="307"/>
      <c r="J35" s="307"/>
      <c r="K35" s="307"/>
      <c r="L35" s="307"/>
      <c r="M35" s="307"/>
      <c r="N35" s="308"/>
      <c r="O35" s="308"/>
      <c r="P35" s="308"/>
      <c r="Q35" s="307"/>
      <c r="R35" s="308"/>
      <c r="S35" s="308"/>
      <c r="T35" s="307"/>
    </row>
    <row r="36" spans="1:20" ht="21" customHeight="1" x14ac:dyDescent="0.25">
      <c r="A36" s="309" t="s">
        <v>114</v>
      </c>
      <c r="B36" s="309"/>
      <c r="C36" s="309"/>
      <c r="D36" s="309"/>
      <c r="E36" s="309"/>
      <c r="F36" s="309"/>
      <c r="G36" s="309"/>
      <c r="H36" s="309"/>
      <c r="I36" s="309"/>
      <c r="J36" s="309"/>
      <c r="K36" s="309"/>
      <c r="L36" s="309"/>
      <c r="M36" s="309"/>
      <c r="N36" s="310"/>
      <c r="O36" s="310"/>
      <c r="P36" s="310"/>
      <c r="Q36" s="309"/>
      <c r="R36" s="310"/>
      <c r="S36" s="310"/>
      <c r="T36" s="309"/>
    </row>
    <row r="37" spans="1:20" ht="23.25" customHeight="1" x14ac:dyDescent="0.25">
      <c r="A37" s="309" t="s">
        <v>209</v>
      </c>
      <c r="B37" s="309"/>
      <c r="C37" s="309"/>
      <c r="D37" s="309"/>
      <c r="E37" s="309"/>
      <c r="F37" s="309"/>
      <c r="G37" s="309"/>
      <c r="H37" s="309"/>
      <c r="I37" s="309"/>
      <c r="J37" s="309"/>
      <c r="K37" s="309"/>
      <c r="L37" s="309"/>
      <c r="M37" s="309"/>
      <c r="N37" s="310"/>
      <c r="O37" s="310"/>
      <c r="P37" s="310"/>
      <c r="Q37" s="309"/>
      <c r="R37" s="310"/>
      <c r="S37" s="310"/>
      <c r="T37" s="309"/>
    </row>
    <row r="38" spans="1:20" s="194" customFormat="1" ht="42" customHeight="1" x14ac:dyDescent="0.25">
      <c r="A38" s="309" t="s">
        <v>115</v>
      </c>
      <c r="B38" s="309"/>
      <c r="C38" s="309"/>
      <c r="D38" s="309"/>
      <c r="E38" s="309"/>
      <c r="F38" s="309"/>
      <c r="G38" s="309"/>
      <c r="H38" s="309"/>
      <c r="I38" s="309"/>
      <c r="J38" s="309"/>
      <c r="K38" s="309"/>
      <c r="L38" s="309"/>
      <c r="M38" s="309"/>
      <c r="N38" s="310"/>
      <c r="O38" s="310"/>
      <c r="P38" s="310"/>
      <c r="Q38" s="309"/>
      <c r="R38" s="310"/>
      <c r="S38" s="310"/>
      <c r="T38" s="309"/>
    </row>
    <row r="39" spans="1:20" x14ac:dyDescent="0.25">
      <c r="A39" s="110"/>
    </row>
    <row r="40" spans="1:20" x14ac:dyDescent="0.25">
      <c r="A40" s="110"/>
    </row>
  </sheetData>
  <mergeCells count="16">
    <mergeCell ref="A34:T34"/>
    <mergeCell ref="A35:T35"/>
    <mergeCell ref="A36:T36"/>
    <mergeCell ref="A37:T37"/>
    <mergeCell ref="A38:T38"/>
    <mergeCell ref="A5:T5"/>
    <mergeCell ref="A6:A8"/>
    <mergeCell ref="A10:A12"/>
    <mergeCell ref="A14:A26"/>
    <mergeCell ref="A33:T33"/>
    <mergeCell ref="A1:C1"/>
    <mergeCell ref="I1:L1"/>
    <mergeCell ref="A2:C2"/>
    <mergeCell ref="I2:L3"/>
    <mergeCell ref="A3:C3"/>
    <mergeCell ref="D3:E3"/>
  </mergeCells>
  <hyperlinks>
    <hyperlink ref="D3" r:id="rId1" xr:uid="{00000000-0004-0000-0700-000000000000}"/>
  </hyperlinks>
  <pageMargins left="0.2" right="0.25" top="0.35" bottom="0.17" header="0.23" footer="0.22"/>
  <pageSetup paperSize="8" scale="62" orientation="landscape"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ED7D31"/>
    <pageSetUpPr fitToPage="1"/>
  </sheetPr>
  <dimension ref="A1:AMN39"/>
  <sheetViews>
    <sheetView showGridLines="0" zoomScale="80" zoomScaleNormal="80" workbookViewId="0">
      <selection activeCell="A6" sqref="A6:A26"/>
    </sheetView>
  </sheetViews>
  <sheetFormatPr defaultColWidth="8.5703125" defaultRowHeight="15.75" x14ac:dyDescent="0.25"/>
  <cols>
    <col min="1" max="1" width="25.5703125" style="1" customWidth="1"/>
    <col min="2" max="2" width="18.140625" style="1" customWidth="1"/>
    <col min="3" max="3" width="13.28515625" style="1" customWidth="1"/>
    <col min="4" max="4" width="18.140625" style="1" customWidth="1"/>
    <col min="5" max="5" width="14.85546875" style="1" customWidth="1"/>
    <col min="6" max="10" width="13.28515625" style="1" customWidth="1"/>
    <col min="11" max="11" width="15.85546875" style="1" customWidth="1"/>
    <col min="12" max="12" width="17.140625" style="1" customWidth="1"/>
    <col min="13" max="18" width="19.5703125" style="110" customWidth="1"/>
    <col min="19" max="19" width="23.28515625" style="110" customWidth="1"/>
    <col min="20" max="20" width="8.5703125" style="1"/>
    <col min="21" max="21" width="12" style="1" customWidth="1"/>
    <col min="22" max="22" width="11.42578125" style="1" customWidth="1"/>
    <col min="23" max="24" width="12" style="1" customWidth="1"/>
    <col min="25" max="260" width="8.5703125" style="1"/>
    <col min="261" max="261" width="20" style="1" customWidth="1"/>
    <col min="262" max="262" width="18.28515625" style="1" customWidth="1"/>
    <col min="263" max="263" width="15.28515625" style="1" customWidth="1"/>
    <col min="264" max="264" width="17.7109375" style="1" customWidth="1"/>
    <col min="265" max="265" width="14.28515625" style="1" customWidth="1"/>
    <col min="266" max="266" width="12.7109375" style="1" customWidth="1"/>
    <col min="267" max="267" width="18.28515625" style="1" customWidth="1"/>
    <col min="268" max="268" width="24.5703125" style="1" customWidth="1"/>
    <col min="269" max="269" width="11.7109375" style="1" customWidth="1"/>
    <col min="270" max="270" width="12.7109375" style="1" customWidth="1"/>
    <col min="271" max="271" width="17.7109375" style="1" customWidth="1"/>
    <col min="272" max="272" width="16.7109375" style="1" customWidth="1"/>
    <col min="273" max="273" width="29.7109375" style="1" customWidth="1"/>
    <col min="274" max="274" width="24.7109375" style="1" customWidth="1"/>
    <col min="275" max="275" width="19.42578125" style="1" customWidth="1"/>
    <col min="276" max="276" width="8.5703125" style="1"/>
    <col min="277" max="277" width="12" style="1" customWidth="1"/>
    <col min="278" max="278" width="11.42578125" style="1" customWidth="1"/>
    <col min="279" max="280" width="12" style="1" customWidth="1"/>
    <col min="281" max="516" width="8.5703125" style="1"/>
    <col min="517" max="517" width="20" style="1" customWidth="1"/>
    <col min="518" max="518" width="18.28515625" style="1" customWidth="1"/>
    <col min="519" max="519" width="15.28515625" style="1" customWidth="1"/>
    <col min="520" max="520" width="17.7109375" style="1" customWidth="1"/>
    <col min="521" max="521" width="14.28515625" style="1" customWidth="1"/>
    <col min="522" max="522" width="12.7109375" style="1" customWidth="1"/>
    <col min="523" max="523" width="18.28515625" style="1" customWidth="1"/>
    <col min="524" max="524" width="24.5703125" style="1" customWidth="1"/>
    <col min="525" max="525" width="11.7109375" style="1" customWidth="1"/>
    <col min="526" max="526" width="12.7109375" style="1" customWidth="1"/>
    <col min="527" max="527" width="17.7109375" style="1" customWidth="1"/>
    <col min="528" max="528" width="16.7109375" style="1" customWidth="1"/>
    <col min="529" max="529" width="29.7109375" style="1" customWidth="1"/>
    <col min="530" max="530" width="24.7109375" style="1" customWidth="1"/>
    <col min="531" max="531" width="19.42578125" style="1" customWidth="1"/>
    <col min="532" max="532" width="8.5703125" style="1"/>
    <col min="533" max="533" width="12" style="1" customWidth="1"/>
    <col min="534" max="534" width="11.42578125" style="1" customWidth="1"/>
    <col min="535" max="536" width="12" style="1" customWidth="1"/>
    <col min="537" max="772" width="8.5703125" style="1"/>
    <col min="773" max="773" width="20" style="1" customWidth="1"/>
    <col min="774" max="774" width="18.28515625" style="1" customWidth="1"/>
    <col min="775" max="775" width="15.28515625" style="1" customWidth="1"/>
    <col min="776" max="776" width="17.7109375" style="1" customWidth="1"/>
    <col min="777" max="777" width="14.28515625" style="1" customWidth="1"/>
    <col min="778" max="778" width="12.7109375" style="1" customWidth="1"/>
    <col min="779" max="779" width="18.28515625" style="1" customWidth="1"/>
    <col min="780" max="780" width="24.5703125" style="1" customWidth="1"/>
    <col min="781" max="781" width="11.7109375" style="1" customWidth="1"/>
    <col min="782" max="782" width="12.7109375" style="1" customWidth="1"/>
    <col min="783" max="783" width="17.7109375" style="1" customWidth="1"/>
    <col min="784" max="784" width="16.7109375" style="1" customWidth="1"/>
    <col min="785" max="785" width="29.7109375" style="1" customWidth="1"/>
    <col min="786" max="786" width="24.7109375" style="1" customWidth="1"/>
    <col min="787" max="787" width="19.42578125" style="1" customWidth="1"/>
    <col min="788" max="788" width="8.5703125" style="1"/>
    <col min="789" max="789" width="12" style="1" customWidth="1"/>
    <col min="790" max="790" width="11.42578125" style="1" customWidth="1"/>
    <col min="791" max="792" width="12" style="1" customWidth="1"/>
    <col min="793" max="1028" width="8.5703125" style="1"/>
  </cols>
  <sheetData>
    <row r="1" spans="1:19" ht="39.75" customHeight="1" x14ac:dyDescent="0.25">
      <c r="A1" s="274" t="s">
        <v>42</v>
      </c>
      <c r="B1" s="274"/>
      <c r="C1" s="274"/>
      <c r="D1" s="195" t="s">
        <v>43</v>
      </c>
      <c r="E1" s="66"/>
      <c r="F1" s="5"/>
      <c r="I1" s="311" t="s">
        <v>1</v>
      </c>
      <c r="J1" s="311"/>
      <c r="K1" s="311"/>
      <c r="L1" s="311"/>
      <c r="M1" s="196" t="s">
        <v>116</v>
      </c>
      <c r="N1" s="263"/>
      <c r="O1" s="263"/>
      <c r="P1" s="263"/>
      <c r="Q1" s="171"/>
      <c r="R1" s="171"/>
      <c r="S1" s="222" t="s">
        <v>163</v>
      </c>
    </row>
    <row r="2" spans="1:19" ht="20.25" customHeight="1" x14ac:dyDescent="0.25">
      <c r="A2" s="277" t="s">
        <v>44</v>
      </c>
      <c r="B2" s="277"/>
      <c r="C2" s="277"/>
      <c r="D2" s="68" t="s">
        <v>45</v>
      </c>
      <c r="E2" s="14"/>
      <c r="F2" s="8"/>
      <c r="H2" s="9"/>
      <c r="I2" s="281" t="s">
        <v>3</v>
      </c>
      <c r="J2" s="281"/>
      <c r="K2" s="281"/>
      <c r="L2" s="281"/>
      <c r="M2" s="197">
        <f>+'Tab. 3.2  Cessati anno 2024'!M22</f>
        <v>2260438.7799999998</v>
      </c>
      <c r="N2" s="173"/>
      <c r="O2" s="173"/>
      <c r="P2" s="173"/>
      <c r="Q2" s="173"/>
      <c r="R2" s="173"/>
      <c r="S2" s="174"/>
    </row>
    <row r="3" spans="1:19" s="1" customFormat="1" ht="19.5" customHeight="1" x14ac:dyDescent="0.25">
      <c r="A3" s="279" t="s">
        <v>46</v>
      </c>
      <c r="B3" s="279" t="s">
        <v>5</v>
      </c>
      <c r="C3" s="279" t="s">
        <v>5</v>
      </c>
      <c r="D3" s="284" t="s">
        <v>47</v>
      </c>
      <c r="E3" s="284"/>
      <c r="F3" s="12"/>
      <c r="I3" s="281"/>
      <c r="J3" s="281"/>
      <c r="K3" s="281"/>
      <c r="L3" s="281"/>
    </row>
    <row r="4" spans="1:19" ht="16.5" customHeight="1" x14ac:dyDescent="0.25">
      <c r="A4" s="13"/>
      <c r="B4" s="13"/>
      <c r="C4" s="13"/>
      <c r="D4" s="13"/>
      <c r="E4" s="13"/>
      <c r="F4" s="13"/>
      <c r="G4" s="13"/>
      <c r="H4" s="13"/>
      <c r="I4" s="13"/>
      <c r="J4" s="13"/>
      <c r="K4" s="13"/>
      <c r="L4" s="13"/>
      <c r="M4" s="175"/>
      <c r="N4" s="175"/>
      <c r="O4" s="175"/>
      <c r="P4" s="175"/>
      <c r="Q4" s="175"/>
      <c r="R4" s="175"/>
      <c r="S4" s="175"/>
    </row>
    <row r="5" spans="1:19" ht="19.5" customHeight="1" x14ac:dyDescent="0.25">
      <c r="A5" s="289" t="s">
        <v>117</v>
      </c>
      <c r="B5" s="289"/>
      <c r="C5" s="289"/>
      <c r="D5" s="289"/>
      <c r="E5" s="289"/>
      <c r="F5" s="289"/>
      <c r="G5" s="289"/>
      <c r="H5" s="289"/>
      <c r="I5" s="289"/>
      <c r="J5" s="289"/>
      <c r="K5" s="289"/>
      <c r="L5" s="289"/>
      <c r="M5" s="289"/>
      <c r="N5" s="304"/>
      <c r="O5" s="304"/>
      <c r="P5" s="304"/>
      <c r="Q5" s="289"/>
      <c r="R5" s="304"/>
      <c r="S5" s="289"/>
    </row>
    <row r="6" spans="1:19" ht="105" x14ac:dyDescent="0.25">
      <c r="A6" s="301" t="s">
        <v>6</v>
      </c>
      <c r="B6" s="16" t="s">
        <v>7</v>
      </c>
      <c r="C6" s="16" t="s">
        <v>8</v>
      </c>
      <c r="D6" s="16" t="s">
        <v>9</v>
      </c>
      <c r="E6" s="17" t="s">
        <v>10</v>
      </c>
      <c r="F6" s="18"/>
      <c r="G6" s="16" t="s">
        <v>11</v>
      </c>
      <c r="H6" s="19" t="s">
        <v>12</v>
      </c>
      <c r="I6" s="19" t="s">
        <v>13</v>
      </c>
      <c r="J6" s="19" t="s">
        <v>14</v>
      </c>
      <c r="K6" s="71" t="s">
        <v>15</v>
      </c>
      <c r="L6" s="180" t="s">
        <v>118</v>
      </c>
      <c r="M6" s="180" t="s">
        <v>119</v>
      </c>
      <c r="N6" s="259"/>
      <c r="O6" s="259"/>
      <c r="P6" s="259"/>
      <c r="Q6" s="180" t="s">
        <v>120</v>
      </c>
      <c r="R6" s="259"/>
      <c r="S6" s="73" t="s">
        <v>102</v>
      </c>
    </row>
    <row r="7" spans="1:19" ht="31.5" x14ac:dyDescent="0.25">
      <c r="A7" s="301"/>
      <c r="B7" s="22" t="s">
        <v>18</v>
      </c>
      <c r="C7" s="229">
        <v>42199.62</v>
      </c>
      <c r="D7" s="229">
        <v>12155.3</v>
      </c>
      <c r="E7" s="228">
        <f>+(C7+D7)/12</f>
        <v>4529.5766666666668</v>
      </c>
      <c r="F7" s="18"/>
      <c r="G7" s="23">
        <f>+C7+D7+E7</f>
        <v>58884.496666666666</v>
      </c>
      <c r="H7" s="24">
        <f>+(C7+C7/12)*27.83%+(D7+D7/12)*24.2%</f>
        <v>15909.548249833335</v>
      </c>
      <c r="I7" s="24">
        <f>+G7*8.5%</f>
        <v>5005.182216666667</v>
      </c>
      <c r="J7" s="24">
        <f>+(C7+C7/12)*5.68%+(D7+D7/12)*3.41%</f>
        <v>3045.7203248333335</v>
      </c>
      <c r="K7" s="74">
        <f>+G7+H7+I7+J7</f>
        <v>82844.94745800001</v>
      </c>
      <c r="L7" s="28"/>
      <c r="M7" s="28"/>
      <c r="N7" s="254"/>
      <c r="O7" s="254"/>
      <c r="P7" s="254"/>
      <c r="Q7" s="28"/>
      <c r="R7" s="254"/>
      <c r="S7" s="176">
        <f>+ROUND(+(L7+M7+Q7+N7+O7+P7+R7)*K7,2)</f>
        <v>0</v>
      </c>
    </row>
    <row r="8" spans="1:19" ht="31.5" x14ac:dyDescent="0.25">
      <c r="A8" s="301"/>
      <c r="B8" s="17" t="s">
        <v>19</v>
      </c>
      <c r="C8" s="229">
        <v>27822.22</v>
      </c>
      <c r="D8" s="229">
        <v>11128.51</v>
      </c>
      <c r="E8" s="228">
        <f>+(C8+D8)/12</f>
        <v>3245.8941666666669</v>
      </c>
      <c r="F8" s="18"/>
      <c r="G8" s="23">
        <f>+C8+D8+E8</f>
        <v>42196.624166666668</v>
      </c>
      <c r="H8" s="24">
        <f>+(C8+C8/12)*27.83%+(D8+D8/12)*24.2%</f>
        <v>11305.691849833333</v>
      </c>
      <c r="I8" s="24">
        <f>+G8*8.5%</f>
        <v>3586.713054166667</v>
      </c>
      <c r="J8" s="24">
        <f>+(C8+C8/12)*5.68%+(D8+D8/12)*3.41%</f>
        <v>2123.09964425</v>
      </c>
      <c r="K8" s="74">
        <f>+G8+H8+I8+J8</f>
        <v>59212.128714916675</v>
      </c>
      <c r="L8" s="28"/>
      <c r="M8" s="28"/>
      <c r="N8" s="254"/>
      <c r="O8" s="254"/>
      <c r="P8" s="254"/>
      <c r="Q8" s="28"/>
      <c r="R8" s="254"/>
      <c r="S8" s="176">
        <f>+ROUND(+(L8+M8+Q8+N8+O8+P8+R8)*K8,2)</f>
        <v>0</v>
      </c>
    </row>
    <row r="9" spans="1:19" ht="19.5" customHeight="1" x14ac:dyDescent="0.25">
      <c r="A9" s="322"/>
      <c r="B9" s="29"/>
      <c r="C9" s="29"/>
      <c r="D9" s="29"/>
      <c r="E9" s="29"/>
      <c r="F9" s="29"/>
      <c r="G9" s="29"/>
      <c r="H9" s="29"/>
      <c r="I9" s="29"/>
      <c r="J9" s="29"/>
      <c r="K9" s="29"/>
      <c r="L9" s="29"/>
      <c r="M9" s="29"/>
      <c r="N9" s="255"/>
      <c r="O9" s="255"/>
      <c r="P9" s="255"/>
      <c r="Q9" s="29"/>
      <c r="R9" s="255"/>
      <c r="S9" s="29"/>
    </row>
    <row r="10" spans="1:19" ht="78.75" x14ac:dyDescent="0.25">
      <c r="A10" s="298" t="s">
        <v>20</v>
      </c>
      <c r="B10" s="16" t="s">
        <v>7</v>
      </c>
      <c r="C10" s="16" t="s">
        <v>21</v>
      </c>
      <c r="D10" s="16" t="s">
        <v>22</v>
      </c>
      <c r="E10" s="16"/>
      <c r="F10" s="16"/>
      <c r="G10" s="16" t="s">
        <v>11</v>
      </c>
      <c r="H10" s="16" t="s">
        <v>60</v>
      </c>
      <c r="I10" s="16" t="s">
        <v>61</v>
      </c>
      <c r="J10" s="16" t="s">
        <v>62</v>
      </c>
      <c r="K10" s="71" t="s">
        <v>15</v>
      </c>
      <c r="L10" s="180" t="s">
        <v>118</v>
      </c>
      <c r="M10" s="180" t="s">
        <v>119</v>
      </c>
      <c r="N10" s="259"/>
      <c r="O10" s="259"/>
      <c r="P10" s="259"/>
      <c r="Q10" s="180" t="s">
        <v>120</v>
      </c>
      <c r="R10" s="259"/>
      <c r="S10" s="73" t="s">
        <v>102</v>
      </c>
    </row>
    <row r="11" spans="1:19" ht="18" customHeight="1" x14ac:dyDescent="0.25">
      <c r="A11" s="298"/>
      <c r="B11" s="34" t="s">
        <v>25</v>
      </c>
      <c r="C11" s="35">
        <v>60102.87</v>
      </c>
      <c r="D11" s="36">
        <v>2314.2600000000002</v>
      </c>
      <c r="E11" s="2"/>
      <c r="F11" s="18"/>
      <c r="G11" s="37">
        <f>+C11+D11</f>
        <v>62417.130000000005</v>
      </c>
      <c r="H11" s="38">
        <f>G11*24.2%</f>
        <v>15104.945460000001</v>
      </c>
      <c r="I11" s="38">
        <f>G11*7.1%*80%</f>
        <v>3545.2929839999997</v>
      </c>
      <c r="J11" s="38">
        <f>G11*8.5%</f>
        <v>5305.4560500000007</v>
      </c>
      <c r="K11" s="39">
        <f>+ROUND(+G11+H11+I11+J11,2)</f>
        <v>86372.82</v>
      </c>
      <c r="L11" s="177"/>
      <c r="M11" s="177"/>
      <c r="N11" s="256"/>
      <c r="O11" s="256"/>
      <c r="P11" s="256"/>
      <c r="Q11" s="177"/>
      <c r="R11" s="256"/>
      <c r="S11" s="176">
        <f>+ROUND(+(L11+M11+Q11+N11+O11+P11+R11)*K11,2)</f>
        <v>0</v>
      </c>
    </row>
    <row r="12" spans="1:19" ht="18" customHeight="1" x14ac:dyDescent="0.25">
      <c r="A12" s="298"/>
      <c r="B12" s="34" t="s">
        <v>26</v>
      </c>
      <c r="C12" s="35">
        <v>47015.77</v>
      </c>
      <c r="D12" s="36">
        <v>1809.86</v>
      </c>
      <c r="E12" s="43"/>
      <c r="F12" s="18"/>
      <c r="G12" s="37">
        <f>+C12+D12</f>
        <v>48825.63</v>
      </c>
      <c r="H12" s="38">
        <f>G12*24.2%</f>
        <v>11815.802459999999</v>
      </c>
      <c r="I12" s="38">
        <f>G12*7.1%*80%</f>
        <v>2773.2957839999999</v>
      </c>
      <c r="J12" s="38">
        <f>G12*8.5%</f>
        <v>4150.1785499999996</v>
      </c>
      <c r="K12" s="39">
        <f>+ROUND(+G12+H12+I12+J12,2)</f>
        <v>67564.91</v>
      </c>
      <c r="L12" s="177"/>
      <c r="M12" s="178"/>
      <c r="N12" s="258"/>
      <c r="O12" s="258"/>
      <c r="P12" s="258"/>
      <c r="Q12" s="177"/>
      <c r="R12" s="256"/>
      <c r="S12" s="176">
        <f>+ROUND(+(L12+M12+Q12+N12+O12+P12+R12)*K12,2)</f>
        <v>0</v>
      </c>
    </row>
    <row r="13" spans="1:19" ht="15" customHeight="1" x14ac:dyDescent="0.25">
      <c r="A13" s="322"/>
      <c r="B13" s="30"/>
      <c r="C13" s="93"/>
      <c r="D13" s="93"/>
      <c r="E13" s="93"/>
      <c r="F13" s="93"/>
      <c r="G13" s="93"/>
      <c r="H13" s="93"/>
      <c r="I13" s="93"/>
      <c r="J13" s="93"/>
      <c r="K13" s="93"/>
      <c r="L13" s="179"/>
      <c r="M13" s="179"/>
      <c r="N13" s="257"/>
      <c r="O13" s="257"/>
      <c r="P13" s="257"/>
      <c r="Q13" s="179"/>
      <c r="R13" s="257"/>
      <c r="S13" s="93"/>
    </row>
    <row r="14" spans="1:19" ht="101.25" customHeight="1" x14ac:dyDescent="0.25">
      <c r="A14" s="301" t="s">
        <v>27</v>
      </c>
      <c r="B14" s="44"/>
      <c r="C14" s="16" t="s">
        <v>28</v>
      </c>
      <c r="D14" s="16" t="s">
        <v>22</v>
      </c>
      <c r="E14" s="16" t="s">
        <v>29</v>
      </c>
      <c r="F14" s="16" t="s">
        <v>30</v>
      </c>
      <c r="G14" s="16" t="s">
        <v>31</v>
      </c>
      <c r="H14" s="16" t="s">
        <v>32</v>
      </c>
      <c r="I14" s="16"/>
      <c r="J14" s="16"/>
      <c r="K14" s="71" t="s">
        <v>52</v>
      </c>
      <c r="L14" s="180" t="s">
        <v>118</v>
      </c>
      <c r="M14" s="180" t="s">
        <v>119</v>
      </c>
      <c r="N14" s="259"/>
      <c r="O14" s="259"/>
      <c r="P14" s="259"/>
      <c r="Q14" s="180" t="s">
        <v>120</v>
      </c>
      <c r="R14" s="259"/>
      <c r="S14" s="73" t="s">
        <v>102</v>
      </c>
    </row>
    <row r="15" spans="1:19" ht="18" customHeight="1" x14ac:dyDescent="0.25">
      <c r="A15" s="301"/>
      <c r="B15" s="43" t="s">
        <v>104</v>
      </c>
      <c r="C15" s="45">
        <v>35000</v>
      </c>
      <c r="D15" s="45">
        <v>1347.32</v>
      </c>
      <c r="E15" s="45"/>
      <c r="F15" s="45"/>
      <c r="G15" s="45">
        <f>+C15+D15+E15+F15</f>
        <v>36347.32</v>
      </c>
      <c r="H15" s="45">
        <f>+(C15+D15+E15)*38.38%+(F15*32.7%)</f>
        <v>13950.101416000001</v>
      </c>
      <c r="I15" s="46"/>
      <c r="J15" s="45"/>
      <c r="K15" s="39" t="str">
        <f>+IF(E15&lt;&gt;0,+ROUND(+G15+H15+I15+J15,2),"0")</f>
        <v>0</v>
      </c>
      <c r="L15" s="47"/>
      <c r="M15" s="47"/>
      <c r="N15" s="264"/>
      <c r="O15" s="264"/>
      <c r="P15" s="264"/>
      <c r="Q15" s="180"/>
      <c r="R15" s="259"/>
      <c r="S15" s="176">
        <f>+ROUND(+(L15+M15+Q15+N15+O15+P15+R15)*K15,2)</f>
        <v>0</v>
      </c>
    </row>
    <row r="16" spans="1:19" ht="18" customHeight="1" x14ac:dyDescent="0.25">
      <c r="A16" s="301"/>
      <c r="B16" s="43" t="s">
        <v>105</v>
      </c>
      <c r="C16" s="16"/>
      <c r="D16" s="16"/>
      <c r="E16" s="16"/>
      <c r="F16" s="16"/>
      <c r="G16" s="16"/>
      <c r="H16" s="16"/>
      <c r="I16" s="16"/>
      <c r="J16" s="16"/>
      <c r="K16" s="39"/>
      <c r="L16" s="180"/>
      <c r="M16" s="180"/>
      <c r="N16" s="259"/>
      <c r="O16" s="259"/>
      <c r="P16" s="259"/>
      <c r="Q16" s="180"/>
      <c r="R16" s="259"/>
      <c r="S16" s="176">
        <f>+ROUND(+(L16+M16+Q16+N16+O16+P16+R16)*K16,2)</f>
        <v>0</v>
      </c>
    </row>
    <row r="17" spans="1:21" ht="15" customHeight="1" x14ac:dyDescent="0.25">
      <c r="A17" s="301"/>
      <c r="B17" s="30"/>
      <c r="C17" s="93"/>
      <c r="D17" s="93"/>
      <c r="E17" s="93"/>
      <c r="F17" s="93"/>
      <c r="G17" s="93"/>
      <c r="H17" s="93"/>
      <c r="I17" s="93"/>
      <c r="J17" s="93"/>
      <c r="K17" s="93"/>
      <c r="L17" s="179"/>
      <c r="M17" s="179"/>
      <c r="N17" s="257"/>
      <c r="O17" s="257"/>
      <c r="P17" s="257"/>
      <c r="Q17" s="179"/>
      <c r="R17" s="257"/>
      <c r="S17" s="93"/>
    </row>
    <row r="18" spans="1:21" ht="96" customHeight="1" x14ac:dyDescent="0.25">
      <c r="A18" s="301"/>
      <c r="B18" s="44"/>
      <c r="C18" s="16" t="s">
        <v>33</v>
      </c>
      <c r="D18" s="16" t="s">
        <v>34</v>
      </c>
      <c r="E18" s="16" t="s">
        <v>54</v>
      </c>
      <c r="F18" s="16" t="s">
        <v>35</v>
      </c>
      <c r="G18" s="16" t="s">
        <v>36</v>
      </c>
      <c r="H18" s="16" t="s">
        <v>60</v>
      </c>
      <c r="I18" s="16" t="s">
        <v>64</v>
      </c>
      <c r="J18" s="16" t="s">
        <v>65</v>
      </c>
      <c r="K18" s="71" t="s">
        <v>55</v>
      </c>
      <c r="L18" s="180" t="s">
        <v>118</v>
      </c>
      <c r="M18" s="267" t="s">
        <v>217</v>
      </c>
      <c r="N18" s="267" t="s">
        <v>218</v>
      </c>
      <c r="O18" s="267" t="s">
        <v>219</v>
      </c>
      <c r="P18" s="267" t="s">
        <v>220</v>
      </c>
      <c r="Q18" s="268" t="s">
        <v>226</v>
      </c>
      <c r="R18" s="268" t="s">
        <v>224</v>
      </c>
      <c r="S18" s="73" t="s">
        <v>102</v>
      </c>
    </row>
    <row r="19" spans="1:21" ht="18" customHeight="1" x14ac:dyDescent="0.25">
      <c r="A19" s="301"/>
      <c r="B19" s="43" t="s">
        <v>37</v>
      </c>
      <c r="C19" s="181">
        <v>23501.93</v>
      </c>
      <c r="D19" s="182">
        <v>904.56</v>
      </c>
      <c r="E19" s="182"/>
      <c r="F19" s="183">
        <f>+ROUND((C19+D19+E19)/12,2)</f>
        <v>2033.87</v>
      </c>
      <c r="G19" s="92">
        <f>+F19+D19+C19+E19</f>
        <v>26440.36</v>
      </c>
      <c r="H19" s="184">
        <f>G19*24.2%</f>
        <v>6398.5671199999997</v>
      </c>
      <c r="I19" s="184">
        <f>G19*7.1%*80%</f>
        <v>1501.8124479999999</v>
      </c>
      <c r="J19" s="184">
        <f>G19*8.5%</f>
        <v>2247.4306000000001</v>
      </c>
      <c r="K19" s="39">
        <f>+ROUND(+G19+H19+I19+J19,2)</f>
        <v>36588.17</v>
      </c>
      <c r="L19" s="178">
        <v>50</v>
      </c>
      <c r="M19" s="178">
        <v>10</v>
      </c>
      <c r="N19" s="258">
        <v>11</v>
      </c>
      <c r="O19" s="258">
        <v>4</v>
      </c>
      <c r="P19" s="258"/>
      <c r="Q19" s="178">
        <v>194</v>
      </c>
      <c r="R19" s="258"/>
      <c r="S19" s="176">
        <f>+ROUND(+(L19+M19+Q19+N19+O19+P19+R19)*K19,2)</f>
        <v>9842217.7300000004</v>
      </c>
      <c r="U19" s="252"/>
    </row>
    <row r="20" spans="1:21" ht="18" customHeight="1" x14ac:dyDescent="0.25">
      <c r="A20" s="301"/>
      <c r="B20" s="43" t="s">
        <v>106</v>
      </c>
      <c r="C20" s="184"/>
      <c r="D20" s="184"/>
      <c r="E20" s="184"/>
      <c r="F20" s="184"/>
      <c r="G20" s="184"/>
      <c r="H20" s="184"/>
      <c r="I20" s="184"/>
      <c r="J20" s="184"/>
      <c r="K20" s="78">
        <f>+K19-K22</f>
        <v>6460.8899999999994</v>
      </c>
      <c r="L20" s="177"/>
      <c r="M20" s="177"/>
      <c r="N20" s="256"/>
      <c r="O20" s="256"/>
      <c r="P20" s="256"/>
      <c r="Q20" s="177"/>
      <c r="R20" s="256"/>
      <c r="S20" s="176">
        <f>+ROUND(+(L20+M20+Q20+N20+O20+P20+R20)*K20,2)</f>
        <v>0</v>
      </c>
    </row>
    <row r="21" spans="1:21" ht="15" customHeight="1" x14ac:dyDescent="0.25">
      <c r="A21" s="301"/>
      <c r="B21" s="50"/>
      <c r="C21" s="81"/>
      <c r="D21" s="185"/>
      <c r="E21" s="185"/>
      <c r="F21" s="81"/>
      <c r="G21" s="81"/>
      <c r="H21" s="81"/>
      <c r="I21" s="81"/>
      <c r="J21" s="81"/>
      <c r="K21" s="81"/>
      <c r="L21" s="186"/>
      <c r="M21" s="186"/>
      <c r="N21" s="260"/>
      <c r="O21" s="260"/>
      <c r="P21" s="260"/>
      <c r="Q21" s="186"/>
      <c r="R21" s="260"/>
      <c r="S21" s="81"/>
    </row>
    <row r="22" spans="1:21" ht="18" customHeight="1" x14ac:dyDescent="0.25">
      <c r="A22" s="301"/>
      <c r="B22" s="43" t="s">
        <v>38</v>
      </c>
      <c r="C22" s="181">
        <v>19351.97</v>
      </c>
      <c r="D22" s="182">
        <v>744.72</v>
      </c>
      <c r="E22" s="182"/>
      <c r="F22" s="183">
        <f>+ROUND((C22+D22+E22)/12,2)</f>
        <v>1674.72</v>
      </c>
      <c r="G22" s="92">
        <f>+F22+D22+C22+E22</f>
        <v>21771.41</v>
      </c>
      <c r="H22" s="184">
        <f>G22*24.2%</f>
        <v>5268.6812199999995</v>
      </c>
      <c r="I22" s="184">
        <f>G22*7.1%*80%</f>
        <v>1236.616088</v>
      </c>
      <c r="J22" s="184">
        <f>G22*8.5%</f>
        <v>1850.5698500000001</v>
      </c>
      <c r="K22" s="39">
        <f>+ROUND(+G22+H22+I22+J22,2)</f>
        <v>30127.279999999999</v>
      </c>
      <c r="L22" s="178">
        <v>14</v>
      </c>
      <c r="M22" s="178"/>
      <c r="N22" s="258">
        <v>1</v>
      </c>
      <c r="O22" s="258"/>
      <c r="P22" s="258">
        <v>9</v>
      </c>
      <c r="Q22" s="178">
        <v>64</v>
      </c>
      <c r="R22" s="258">
        <v>1</v>
      </c>
      <c r="S22" s="176">
        <f>+ROUND(+(L22+M22+Q22+N22+O22+P22+R22)*K22,2)</f>
        <v>2681327.92</v>
      </c>
    </row>
    <row r="23" spans="1:21" ht="18" customHeight="1" x14ac:dyDescent="0.25">
      <c r="A23" s="301"/>
      <c r="B23" s="43" t="s">
        <v>107</v>
      </c>
      <c r="C23" s="181"/>
      <c r="D23" s="182"/>
      <c r="E23" s="182"/>
      <c r="F23" s="183"/>
      <c r="G23" s="92"/>
      <c r="H23" s="184"/>
      <c r="I23" s="184"/>
      <c r="J23" s="184"/>
      <c r="K23" s="78">
        <f>+K22-K25</f>
        <v>1496.25</v>
      </c>
      <c r="L23" s="177"/>
      <c r="M23" s="177"/>
      <c r="N23" s="256"/>
      <c r="O23" s="256"/>
      <c r="P23" s="256"/>
      <c r="Q23" s="177"/>
      <c r="R23" s="256"/>
      <c r="S23" s="176">
        <f>+ROUND(+(L23+M23+Q23+N23+O23+P23+R23)*K23,2)</f>
        <v>0</v>
      </c>
    </row>
    <row r="24" spans="1:21" ht="15" customHeight="1" x14ac:dyDescent="0.25">
      <c r="A24" s="301"/>
      <c r="B24" s="56"/>
      <c r="C24" s="185"/>
      <c r="D24" s="83"/>
      <c r="E24" s="185"/>
      <c r="F24" s="185"/>
      <c r="G24" s="81"/>
      <c r="H24" s="83"/>
      <c r="I24" s="83"/>
      <c r="J24" s="83"/>
      <c r="K24" s="83"/>
      <c r="L24" s="187"/>
      <c r="M24" s="187"/>
      <c r="N24" s="261"/>
      <c r="O24" s="261"/>
      <c r="P24" s="261"/>
      <c r="Q24" s="187"/>
      <c r="R24" s="261"/>
      <c r="S24" s="83"/>
    </row>
    <row r="25" spans="1:21" ht="18" customHeight="1" x14ac:dyDescent="0.25">
      <c r="A25" s="301"/>
      <c r="B25" s="43" t="s">
        <v>39</v>
      </c>
      <c r="C25" s="181">
        <v>18390.84</v>
      </c>
      <c r="D25" s="182">
        <v>707.76</v>
      </c>
      <c r="E25" s="182"/>
      <c r="F25" s="183">
        <f>+ROUND((C25+D25+E25)/12,2)</f>
        <v>1591.55</v>
      </c>
      <c r="G25" s="92">
        <f>+F25+D25+C25+E25</f>
        <v>20690.150000000001</v>
      </c>
      <c r="H25" s="184">
        <f>G25*24.2%</f>
        <v>5007.0163000000002</v>
      </c>
      <c r="I25" s="184">
        <f>G25*7.1%*80%</f>
        <v>1175.2005200000001</v>
      </c>
      <c r="J25" s="184">
        <f>G25*8.5%</f>
        <v>1758.6627500000002</v>
      </c>
      <c r="K25" s="39">
        <f>+ROUND(+G25+H25+I25+J25,2)</f>
        <v>28631.03</v>
      </c>
      <c r="L25" s="177"/>
      <c r="M25" s="177"/>
      <c r="N25" s="256"/>
      <c r="O25" s="256"/>
      <c r="P25" s="256"/>
      <c r="Q25" s="177"/>
      <c r="R25" s="256"/>
      <c r="S25" s="176">
        <f>+ROUND(+(L25+M25+Q25+N25+O25+P25+R25)*K25,2)</f>
        <v>0</v>
      </c>
    </row>
    <row r="26" spans="1:21" ht="15" customHeight="1" x14ac:dyDescent="0.25">
      <c r="A26" s="301"/>
      <c r="B26" s="50"/>
      <c r="C26" s="81"/>
      <c r="D26" s="185"/>
      <c r="E26" s="185"/>
      <c r="F26" s="81"/>
      <c r="G26" s="81"/>
      <c r="H26" s="83"/>
      <c r="I26" s="83"/>
      <c r="J26" s="83"/>
      <c r="K26" s="83"/>
      <c r="L26" s="187"/>
      <c r="M26" s="187"/>
      <c r="N26" s="261"/>
      <c r="O26" s="261"/>
      <c r="P26" s="261"/>
      <c r="Q26" s="187"/>
      <c r="R26" s="261"/>
      <c r="S26" s="83"/>
    </row>
    <row r="27" spans="1:21" ht="33.75" customHeight="1" x14ac:dyDescent="0.3">
      <c r="D27" s="2"/>
      <c r="E27" s="2"/>
      <c r="J27" s="2"/>
      <c r="K27" s="188" t="s">
        <v>40</v>
      </c>
      <c r="L27" s="61">
        <f>+SUM(L7:L26)</f>
        <v>64</v>
      </c>
      <c r="M27" s="61">
        <f>+SUM(M7:M26)</f>
        <v>10</v>
      </c>
      <c r="N27" s="61">
        <f t="shared" ref="N27:P27" si="0">+SUM(N7:N26)</f>
        <v>12</v>
      </c>
      <c r="O27" s="61">
        <f t="shared" si="0"/>
        <v>4</v>
      </c>
      <c r="P27" s="61">
        <f t="shared" si="0"/>
        <v>9</v>
      </c>
      <c r="Q27" s="198">
        <f>+SUM(Q7:Q26)</f>
        <v>258</v>
      </c>
      <c r="R27" s="198">
        <f>+SUM(R7:R26)</f>
        <v>1</v>
      </c>
      <c r="S27" s="190">
        <f>+SUM(S7:S26)</f>
        <v>12523545.65</v>
      </c>
    </row>
    <row r="28" spans="1:21" ht="24" customHeight="1" x14ac:dyDescent="0.25">
      <c r="L28" s="110"/>
      <c r="Q28" s="1"/>
      <c r="R28" s="1"/>
      <c r="S28" s="191" t="s">
        <v>108</v>
      </c>
    </row>
    <row r="29" spans="1:21" ht="48" customHeight="1" x14ac:dyDescent="0.25">
      <c r="L29" s="110"/>
      <c r="Q29" s="192" t="s">
        <v>121</v>
      </c>
      <c r="R29" s="262"/>
      <c r="S29" s="193">
        <f>+ROUND(+($L$11*$K$11)+($K$12*$L$12)+($K$19*$L$19)+($K$20*$L$20)+($K$22*$L$22)+($K$23*$L$23)+($K$25*$L$25)+($K$15*$L$15)+($K$16*$L$16)+($K$8*$L$8)+($K$7*$L$7),2)</f>
        <v>2251190.42</v>
      </c>
    </row>
    <row r="30" spans="1:21" ht="78.75" x14ac:dyDescent="0.25">
      <c r="L30" s="110"/>
      <c r="Q30" s="192" t="s">
        <v>208</v>
      </c>
      <c r="R30" s="262"/>
      <c r="S30" s="193">
        <f>ROUND(((M19+N19+O19+P19)*K19)+((M22+N22+O22+P22)*K22),2)</f>
        <v>1215977.05</v>
      </c>
    </row>
    <row r="31" spans="1:21" ht="34.5" customHeight="1" x14ac:dyDescent="0.25">
      <c r="E31" s="89"/>
      <c r="F31" s="89"/>
      <c r="G31" s="89"/>
      <c r="H31" s="89"/>
      <c r="I31" s="89"/>
      <c r="J31" s="89"/>
      <c r="K31" s="89"/>
      <c r="L31" s="110"/>
      <c r="Q31" s="192" t="s">
        <v>111</v>
      </c>
      <c r="R31" s="262"/>
      <c r="S31" s="193">
        <f>ROUND(((Q19+R19)*K19)+((Q22+R22)*K22),2)</f>
        <v>9056378.1799999997</v>
      </c>
    </row>
    <row r="34" spans="1:19" ht="19.5" customHeight="1" x14ac:dyDescent="0.25">
      <c r="A34" s="305" t="s">
        <v>41</v>
      </c>
      <c r="B34" s="305"/>
      <c r="C34" s="305"/>
      <c r="D34" s="305"/>
      <c r="E34" s="305"/>
      <c r="F34" s="305"/>
      <c r="G34" s="305"/>
      <c r="H34" s="305"/>
      <c r="I34" s="305"/>
      <c r="J34" s="305"/>
      <c r="K34" s="305"/>
      <c r="L34" s="305"/>
      <c r="M34" s="305"/>
      <c r="N34" s="306"/>
      <c r="O34" s="306"/>
      <c r="P34" s="306"/>
      <c r="Q34" s="305"/>
      <c r="R34" s="306"/>
      <c r="S34" s="305"/>
    </row>
    <row r="35" spans="1:19" ht="19.5" customHeight="1" x14ac:dyDescent="0.25">
      <c r="A35" s="307" t="s">
        <v>122</v>
      </c>
      <c r="B35" s="307"/>
      <c r="C35" s="307"/>
      <c r="D35" s="307"/>
      <c r="E35" s="307"/>
      <c r="F35" s="307"/>
      <c r="G35" s="307"/>
      <c r="H35" s="307"/>
      <c r="I35" s="307"/>
      <c r="J35" s="307"/>
      <c r="K35" s="307"/>
      <c r="L35" s="307"/>
      <c r="M35" s="307"/>
      <c r="N35" s="308"/>
      <c r="O35" s="308"/>
      <c r="P35" s="308"/>
      <c r="Q35" s="307"/>
      <c r="R35" s="308"/>
      <c r="S35" s="307"/>
    </row>
    <row r="36" spans="1:19" ht="19.5" customHeight="1" x14ac:dyDescent="0.25">
      <c r="A36" s="307" t="s">
        <v>113</v>
      </c>
      <c r="B36" s="307"/>
      <c r="C36" s="307"/>
      <c r="D36" s="307"/>
      <c r="E36" s="307"/>
      <c r="F36" s="307"/>
      <c r="G36" s="307"/>
      <c r="H36" s="307"/>
      <c r="I36" s="307"/>
      <c r="J36" s="307"/>
      <c r="K36" s="307"/>
      <c r="L36" s="307"/>
      <c r="M36" s="307"/>
      <c r="N36" s="308"/>
      <c r="O36" s="308"/>
      <c r="P36" s="308"/>
      <c r="Q36" s="307"/>
      <c r="R36" s="308"/>
      <c r="S36" s="307"/>
    </row>
    <row r="37" spans="1:19" x14ac:dyDescent="0.25">
      <c r="A37" s="309" t="s">
        <v>123</v>
      </c>
      <c r="B37" s="309"/>
      <c r="C37" s="309"/>
      <c r="D37" s="309"/>
      <c r="E37" s="309"/>
      <c r="F37" s="309"/>
      <c r="G37" s="309"/>
      <c r="H37" s="309"/>
      <c r="I37" s="309"/>
      <c r="J37" s="309"/>
      <c r="K37" s="309"/>
      <c r="L37" s="309"/>
      <c r="M37" s="309"/>
      <c r="N37" s="310"/>
      <c r="O37" s="310"/>
      <c r="P37" s="310"/>
      <c r="Q37" s="309"/>
      <c r="R37" s="310"/>
      <c r="S37" s="309"/>
    </row>
    <row r="38" spans="1:19" x14ac:dyDescent="0.25">
      <c r="A38" s="309" t="s">
        <v>124</v>
      </c>
      <c r="B38" s="309"/>
      <c r="C38" s="309"/>
      <c r="D38" s="309"/>
      <c r="E38" s="309"/>
      <c r="F38" s="309"/>
      <c r="G38" s="309"/>
      <c r="H38" s="309"/>
      <c r="I38" s="309"/>
      <c r="J38" s="309"/>
      <c r="K38" s="309"/>
      <c r="L38" s="309"/>
      <c r="M38" s="309"/>
      <c r="N38" s="310"/>
      <c r="O38" s="310"/>
      <c r="P38" s="310"/>
      <c r="Q38" s="309"/>
      <c r="R38" s="310"/>
      <c r="S38" s="309"/>
    </row>
    <row r="39" spans="1:19" s="194" customFormat="1" ht="45.75" customHeight="1" x14ac:dyDescent="0.25">
      <c r="A39" s="309" t="s">
        <v>125</v>
      </c>
      <c r="B39" s="309"/>
      <c r="C39" s="309"/>
      <c r="D39" s="309"/>
      <c r="E39" s="309"/>
      <c r="F39" s="309"/>
      <c r="G39" s="309"/>
      <c r="H39" s="309"/>
      <c r="I39" s="309"/>
      <c r="J39" s="309"/>
      <c r="K39" s="309"/>
      <c r="L39" s="309"/>
      <c r="M39" s="309"/>
      <c r="N39" s="310"/>
      <c r="O39" s="310"/>
      <c r="P39" s="310"/>
      <c r="Q39" s="309"/>
      <c r="R39" s="310"/>
      <c r="S39" s="309"/>
    </row>
  </sheetData>
  <mergeCells count="16">
    <mergeCell ref="A35:S35"/>
    <mergeCell ref="A36:S36"/>
    <mergeCell ref="A37:S37"/>
    <mergeCell ref="A38:S38"/>
    <mergeCell ref="A39:S39"/>
    <mergeCell ref="A5:S5"/>
    <mergeCell ref="A6:A8"/>
    <mergeCell ref="A10:A12"/>
    <mergeCell ref="A14:A26"/>
    <mergeCell ref="A34:S34"/>
    <mergeCell ref="A1:C1"/>
    <mergeCell ref="I1:L1"/>
    <mergeCell ref="A2:C2"/>
    <mergeCell ref="I2:L3"/>
    <mergeCell ref="A3:C3"/>
    <mergeCell ref="D3:E3"/>
  </mergeCells>
  <hyperlinks>
    <hyperlink ref="D3" r:id="rId1" xr:uid="{00000000-0004-0000-0800-000000000000}"/>
  </hyperlinks>
  <pageMargins left="0.45" right="0.47013888888888899" top="0.33" bottom="0.17" header="0.28000000000000003" footer="0.28000000000000003"/>
  <pageSetup paperSize="8" scale="63" orientation="landscape"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ED7D31"/>
    <pageSetUpPr fitToPage="1"/>
  </sheetPr>
  <dimension ref="A1:AML39"/>
  <sheetViews>
    <sheetView showGridLines="0" zoomScale="80" zoomScaleNormal="80" workbookViewId="0">
      <selection activeCell="A6" sqref="A6:A26"/>
    </sheetView>
  </sheetViews>
  <sheetFormatPr defaultColWidth="8.5703125" defaultRowHeight="15.75" x14ac:dyDescent="0.25"/>
  <cols>
    <col min="1" max="1" width="20" style="1" customWidth="1"/>
    <col min="2" max="2" width="15.28515625" style="1" customWidth="1"/>
    <col min="3" max="3" width="13.28515625" style="1" customWidth="1"/>
    <col min="4" max="4" width="17.140625" style="1" customWidth="1"/>
    <col min="5" max="5" width="14.42578125" style="1" customWidth="1"/>
    <col min="6" max="10" width="13.28515625" style="1" customWidth="1"/>
    <col min="11" max="11" width="17.5703125" style="1" customWidth="1"/>
    <col min="12" max="12" width="16.28515625" style="1" customWidth="1"/>
    <col min="13" max="15" width="19.140625" style="110" customWidth="1"/>
    <col min="16" max="16" width="21.85546875" style="110" customWidth="1"/>
    <col min="17" max="17" width="27.140625" style="110" customWidth="1"/>
    <col min="18" max="18" width="8.5703125" style="1"/>
    <col min="19" max="19" width="12" style="1" customWidth="1"/>
    <col min="20" max="20" width="11.42578125" style="1" customWidth="1"/>
    <col min="21" max="22" width="12" style="1" customWidth="1"/>
    <col min="23" max="258" width="8.5703125" style="1"/>
    <col min="259" max="259" width="20" style="1" customWidth="1"/>
    <col min="260" max="260" width="18.28515625" style="1" customWidth="1"/>
    <col min="261" max="261" width="15.28515625" style="1" customWidth="1"/>
    <col min="262" max="262" width="17.7109375" style="1" customWidth="1"/>
    <col min="263" max="263" width="14.28515625" style="1" customWidth="1"/>
    <col min="264" max="264" width="12.7109375" style="1" customWidth="1"/>
    <col min="265" max="265" width="18.28515625" style="1" customWidth="1"/>
    <col min="266" max="266" width="24.5703125" style="1" customWidth="1"/>
    <col min="267" max="267" width="11.7109375" style="1" customWidth="1"/>
    <col min="268" max="268" width="12.7109375" style="1" customWidth="1"/>
    <col min="269" max="269" width="17.7109375" style="1" customWidth="1"/>
    <col min="270" max="270" width="16.7109375" style="1" customWidth="1"/>
    <col min="271" max="271" width="29.7109375" style="1" customWidth="1"/>
    <col min="272" max="272" width="24.7109375" style="1" customWidth="1"/>
    <col min="273" max="273" width="19.42578125" style="1" customWidth="1"/>
    <col min="274" max="274" width="8.5703125" style="1"/>
    <col min="275" max="275" width="12" style="1" customWidth="1"/>
    <col min="276" max="276" width="11.42578125" style="1" customWidth="1"/>
    <col min="277" max="278" width="12" style="1" customWidth="1"/>
    <col min="279" max="514" width="8.5703125" style="1"/>
    <col min="515" max="515" width="20" style="1" customWidth="1"/>
    <col min="516" max="516" width="18.28515625" style="1" customWidth="1"/>
    <col min="517" max="517" width="15.28515625" style="1" customWidth="1"/>
    <col min="518" max="518" width="17.7109375" style="1" customWidth="1"/>
    <col min="519" max="519" width="14.28515625" style="1" customWidth="1"/>
    <col min="520" max="520" width="12.7109375" style="1" customWidth="1"/>
    <col min="521" max="521" width="18.28515625" style="1" customWidth="1"/>
    <col min="522" max="522" width="24.5703125" style="1" customWidth="1"/>
    <col min="523" max="523" width="11.7109375" style="1" customWidth="1"/>
    <col min="524" max="524" width="12.7109375" style="1" customWidth="1"/>
    <col min="525" max="525" width="17.7109375" style="1" customWidth="1"/>
    <col min="526" max="526" width="16.7109375" style="1" customWidth="1"/>
    <col min="527" max="527" width="29.7109375" style="1" customWidth="1"/>
    <col min="528" max="528" width="24.7109375" style="1" customWidth="1"/>
    <col min="529" max="529" width="19.42578125" style="1" customWidth="1"/>
    <col min="530" max="530" width="8.5703125" style="1"/>
    <col min="531" max="531" width="12" style="1" customWidth="1"/>
    <col min="532" max="532" width="11.42578125" style="1" customWidth="1"/>
    <col min="533" max="534" width="12" style="1" customWidth="1"/>
    <col min="535" max="770" width="8.5703125" style="1"/>
    <col min="771" max="771" width="20" style="1" customWidth="1"/>
    <col min="772" max="772" width="18.28515625" style="1" customWidth="1"/>
    <col min="773" max="773" width="15.28515625" style="1" customWidth="1"/>
    <col min="774" max="774" width="17.7109375" style="1" customWidth="1"/>
    <col min="775" max="775" width="14.28515625" style="1" customWidth="1"/>
    <col min="776" max="776" width="12.7109375" style="1" customWidth="1"/>
    <col min="777" max="777" width="18.28515625" style="1" customWidth="1"/>
    <col min="778" max="778" width="24.5703125" style="1" customWidth="1"/>
    <col min="779" max="779" width="11.7109375" style="1" customWidth="1"/>
    <col min="780" max="780" width="12.7109375" style="1" customWidth="1"/>
    <col min="781" max="781" width="17.7109375" style="1" customWidth="1"/>
    <col min="782" max="782" width="16.7109375" style="1" customWidth="1"/>
    <col min="783" max="783" width="29.7109375" style="1" customWidth="1"/>
    <col min="784" max="784" width="24.7109375" style="1" customWidth="1"/>
    <col min="785" max="785" width="19.42578125" style="1" customWidth="1"/>
    <col min="786" max="786" width="8.5703125" style="1"/>
    <col min="787" max="787" width="12" style="1" customWidth="1"/>
    <col min="788" max="788" width="11.42578125" style="1" customWidth="1"/>
    <col min="789" max="790" width="12" style="1" customWidth="1"/>
    <col min="791" max="1026" width="8.5703125" style="1"/>
  </cols>
  <sheetData>
    <row r="1" spans="1:17" ht="39.75" customHeight="1" x14ac:dyDescent="0.25">
      <c r="A1" s="274" t="s">
        <v>42</v>
      </c>
      <c r="B1" s="274"/>
      <c r="C1" s="274"/>
      <c r="D1" s="195" t="s">
        <v>43</v>
      </c>
      <c r="E1" s="66"/>
      <c r="F1" s="5"/>
      <c r="I1" s="311" t="s">
        <v>1</v>
      </c>
      <c r="J1" s="311"/>
      <c r="K1" s="311"/>
      <c r="L1" s="311"/>
      <c r="M1" s="199" t="s">
        <v>126</v>
      </c>
      <c r="N1" s="269"/>
      <c r="O1" s="269"/>
      <c r="P1" s="171"/>
      <c r="Q1" s="222" t="s">
        <v>164</v>
      </c>
    </row>
    <row r="2" spans="1:17" ht="20.25" customHeight="1" x14ac:dyDescent="0.25">
      <c r="A2" s="277" t="s">
        <v>44</v>
      </c>
      <c r="B2" s="277"/>
      <c r="C2" s="277"/>
      <c r="D2" s="68" t="s">
        <v>45</v>
      </c>
      <c r="E2" s="14"/>
      <c r="F2" s="8"/>
      <c r="H2" s="9"/>
      <c r="I2" s="281" t="s">
        <v>3</v>
      </c>
      <c r="J2" s="281"/>
      <c r="K2" s="281"/>
      <c r="L2" s="281"/>
      <c r="M2" s="197">
        <f>+'Tab. 3.3  Cessati anno 2025'!M22</f>
        <v>2956632.01</v>
      </c>
      <c r="N2" s="173"/>
      <c r="O2" s="173"/>
      <c r="P2" s="173"/>
      <c r="Q2" s="174"/>
    </row>
    <row r="3" spans="1:17" s="1" customFormat="1" ht="19.5" customHeight="1" x14ac:dyDescent="0.25">
      <c r="A3" s="279" t="s">
        <v>46</v>
      </c>
      <c r="B3" s="279" t="s">
        <v>5</v>
      </c>
      <c r="C3" s="279" t="s">
        <v>5</v>
      </c>
      <c r="D3" s="284" t="s">
        <v>47</v>
      </c>
      <c r="E3" s="284"/>
      <c r="F3" s="12"/>
      <c r="I3" s="281"/>
      <c r="J3" s="281"/>
      <c r="K3" s="281"/>
      <c r="L3" s="281"/>
    </row>
    <row r="4" spans="1:17" ht="16.5" customHeight="1" x14ac:dyDescent="0.25">
      <c r="A4" s="13"/>
      <c r="B4" s="13"/>
      <c r="C4" s="13"/>
      <c r="D4" s="13"/>
      <c r="E4" s="13"/>
      <c r="F4" s="13"/>
      <c r="G4" s="13"/>
      <c r="H4" s="13"/>
      <c r="I4" s="13"/>
      <c r="J4" s="13"/>
      <c r="K4" s="13"/>
      <c r="L4" s="13"/>
      <c r="M4" s="175"/>
      <c r="N4" s="175"/>
      <c r="O4" s="175"/>
      <c r="P4" s="175"/>
      <c r="Q4" s="175"/>
    </row>
    <row r="5" spans="1:17" ht="19.5" customHeight="1" x14ac:dyDescent="0.25">
      <c r="A5" s="289" t="s">
        <v>127</v>
      </c>
      <c r="B5" s="289"/>
      <c r="C5" s="289"/>
      <c r="D5" s="289"/>
      <c r="E5" s="289"/>
      <c r="F5" s="289"/>
      <c r="G5" s="289"/>
      <c r="H5" s="289"/>
      <c r="I5" s="289"/>
      <c r="J5" s="289"/>
      <c r="K5" s="289"/>
      <c r="L5" s="289"/>
      <c r="M5" s="289"/>
      <c r="N5" s="304"/>
      <c r="O5" s="304"/>
      <c r="P5" s="289"/>
      <c r="Q5" s="289"/>
    </row>
    <row r="6" spans="1:17" ht="105" x14ac:dyDescent="0.25">
      <c r="A6" s="301" t="s">
        <v>6</v>
      </c>
      <c r="B6" s="16" t="s">
        <v>7</v>
      </c>
      <c r="C6" s="16" t="s">
        <v>8</v>
      </c>
      <c r="D6" s="16" t="s">
        <v>9</v>
      </c>
      <c r="E6" s="17" t="s">
        <v>10</v>
      </c>
      <c r="F6" s="18"/>
      <c r="G6" s="16" t="s">
        <v>11</v>
      </c>
      <c r="H6" s="19" t="s">
        <v>12</v>
      </c>
      <c r="I6" s="19" t="s">
        <v>13</v>
      </c>
      <c r="J6" s="19" t="s">
        <v>14</v>
      </c>
      <c r="K6" s="71" t="s">
        <v>55</v>
      </c>
      <c r="L6" s="180" t="s">
        <v>128</v>
      </c>
      <c r="M6" s="180" t="s">
        <v>129</v>
      </c>
      <c r="N6" s="259"/>
      <c r="O6" s="259"/>
      <c r="P6" s="180" t="s">
        <v>130</v>
      </c>
      <c r="Q6" s="73" t="s">
        <v>102</v>
      </c>
    </row>
    <row r="7" spans="1:17" ht="31.5" x14ac:dyDescent="0.25">
      <c r="A7" s="301"/>
      <c r="B7" s="22" t="s">
        <v>18</v>
      </c>
      <c r="C7" s="229">
        <v>42199.62</v>
      </c>
      <c r="D7" s="229">
        <v>12155.3</v>
      </c>
      <c r="E7" s="228">
        <f>+(C7+D7)/12</f>
        <v>4529.5766666666668</v>
      </c>
      <c r="F7" s="18"/>
      <c r="G7" s="23">
        <f>+C7+D7+E7</f>
        <v>58884.496666666666</v>
      </c>
      <c r="H7" s="24">
        <f>+(C7+C7/12)*27.83%+(D7+D7/12)*24.2%</f>
        <v>15909.548249833335</v>
      </c>
      <c r="I7" s="24">
        <f>+G7*8.5%</f>
        <v>5005.182216666667</v>
      </c>
      <c r="J7" s="24">
        <f>+(C7+C7/12)*5.68%+(D7+D7/12)*3.41%</f>
        <v>3045.7203248333335</v>
      </c>
      <c r="K7" s="74">
        <f>+G7+H7+I7+J7</f>
        <v>82844.94745800001</v>
      </c>
      <c r="L7" s="28"/>
      <c r="M7" s="28"/>
      <c r="N7" s="254"/>
      <c r="O7" s="254"/>
      <c r="P7" s="28"/>
      <c r="Q7" s="176">
        <f>+ROUND(+(L7+M7+P7)*K7,2)</f>
        <v>0</v>
      </c>
    </row>
    <row r="8" spans="1:17" ht="31.5" x14ac:dyDescent="0.25">
      <c r="A8" s="301"/>
      <c r="B8" s="17" t="s">
        <v>19</v>
      </c>
      <c r="C8" s="229">
        <v>27822.22</v>
      </c>
      <c r="D8" s="229">
        <v>11128.51</v>
      </c>
      <c r="E8" s="228">
        <f>+(C8+D8)/12</f>
        <v>3245.8941666666669</v>
      </c>
      <c r="F8" s="18"/>
      <c r="G8" s="23">
        <f>+C8+D8+E8</f>
        <v>42196.624166666668</v>
      </c>
      <c r="H8" s="24">
        <f>+(C8+C8/12)*27.83%+(D8+D8/12)*24.2%</f>
        <v>11305.691849833333</v>
      </c>
      <c r="I8" s="24">
        <f>+G8*8.5%</f>
        <v>3586.713054166667</v>
      </c>
      <c r="J8" s="24">
        <f>+(C8+C8/12)*5.68%+(D8+D8/12)*3.41%</f>
        <v>2123.09964425</v>
      </c>
      <c r="K8" s="74">
        <f>+G8+H8+I8+J8</f>
        <v>59212.128714916675</v>
      </c>
      <c r="L8" s="28"/>
      <c r="M8" s="28"/>
      <c r="N8" s="254"/>
      <c r="O8" s="254"/>
      <c r="P8" s="28"/>
      <c r="Q8" s="176">
        <f>+ROUND(+(L8+M8+P8)*K8,2)</f>
        <v>0</v>
      </c>
    </row>
    <row r="9" spans="1:17" ht="19.5" customHeight="1" x14ac:dyDescent="0.25">
      <c r="A9" s="322"/>
      <c r="B9" s="29"/>
      <c r="C9" s="29"/>
      <c r="D9" s="29"/>
      <c r="E9" s="29"/>
      <c r="F9" s="29"/>
      <c r="G9" s="29"/>
      <c r="H9" s="29"/>
      <c r="I9" s="29"/>
      <c r="J9" s="29"/>
      <c r="K9" s="29"/>
      <c r="L9" s="29"/>
      <c r="M9" s="29"/>
      <c r="N9" s="255"/>
      <c r="O9" s="255"/>
      <c r="P9" s="29"/>
      <c r="Q9" s="29"/>
    </row>
    <row r="10" spans="1:17" ht="78.75" x14ac:dyDescent="0.25">
      <c r="A10" s="298" t="s">
        <v>20</v>
      </c>
      <c r="B10" s="16" t="s">
        <v>7</v>
      </c>
      <c r="C10" s="16" t="s">
        <v>21</v>
      </c>
      <c r="D10" s="16" t="s">
        <v>22</v>
      </c>
      <c r="E10" s="16"/>
      <c r="F10" s="16"/>
      <c r="G10" s="16" t="s">
        <v>11</v>
      </c>
      <c r="H10" s="16" t="s">
        <v>60</v>
      </c>
      <c r="I10" s="16" t="s">
        <v>61</v>
      </c>
      <c r="J10" s="16" t="s">
        <v>62</v>
      </c>
      <c r="K10" s="71" t="s">
        <v>15</v>
      </c>
      <c r="L10" s="180" t="s">
        <v>128</v>
      </c>
      <c r="M10" s="180" t="s">
        <v>129</v>
      </c>
      <c r="N10" s="259"/>
      <c r="O10" s="259"/>
      <c r="P10" s="180" t="s">
        <v>130</v>
      </c>
      <c r="Q10" s="73" t="s">
        <v>102</v>
      </c>
    </row>
    <row r="11" spans="1:17" ht="18" customHeight="1" x14ac:dyDescent="0.25">
      <c r="A11" s="298"/>
      <c r="B11" s="34" t="s">
        <v>25</v>
      </c>
      <c r="C11" s="35">
        <v>60102.87</v>
      </c>
      <c r="D11" s="36">
        <v>2314.2600000000002</v>
      </c>
      <c r="E11" s="2"/>
      <c r="F11" s="18"/>
      <c r="G11" s="37">
        <f>+C11+D11</f>
        <v>62417.130000000005</v>
      </c>
      <c r="H11" s="38">
        <f>G11*24.2%</f>
        <v>15104.945460000001</v>
      </c>
      <c r="I11" s="38">
        <f>G11*7.1%*80%</f>
        <v>3545.2929839999997</v>
      </c>
      <c r="J11" s="38">
        <f>G11*8.5%</f>
        <v>5305.4560500000007</v>
      </c>
      <c r="K11" s="39">
        <f>+ROUND(+G11+H11+I11+J11,2)</f>
        <v>86372.82</v>
      </c>
      <c r="L11" s="177"/>
      <c r="M11" s="177"/>
      <c r="N11" s="256"/>
      <c r="O11" s="256"/>
      <c r="P11" s="177"/>
      <c r="Q11" s="176">
        <f>+ROUND(+(L11+M11+P11+N11+O11)*K11,2)</f>
        <v>0</v>
      </c>
    </row>
    <row r="12" spans="1:17" ht="18" customHeight="1" x14ac:dyDescent="0.25">
      <c r="A12" s="298"/>
      <c r="B12" s="34" t="s">
        <v>26</v>
      </c>
      <c r="C12" s="35">
        <v>47015.77</v>
      </c>
      <c r="D12" s="36">
        <v>1809.86</v>
      </c>
      <c r="E12" s="43"/>
      <c r="F12" s="18"/>
      <c r="G12" s="37">
        <f>+C12+D12</f>
        <v>48825.63</v>
      </c>
      <c r="H12" s="38">
        <f>G12*24.2%</f>
        <v>11815.802459999999</v>
      </c>
      <c r="I12" s="38">
        <f>G12*7.1%*80%</f>
        <v>2773.2957839999999</v>
      </c>
      <c r="J12" s="38">
        <f>G12*8.5%</f>
        <v>4150.1785499999996</v>
      </c>
      <c r="K12" s="39">
        <f>+ROUND(+G12+H12+I12+J12,2)</f>
        <v>67564.91</v>
      </c>
      <c r="L12" s="178">
        <v>2</v>
      </c>
      <c r="M12" s="178"/>
      <c r="N12" s="258"/>
      <c r="O12" s="258"/>
      <c r="P12" s="177"/>
      <c r="Q12" s="176">
        <f>+ROUND(+(L12+M12+P12+N12+O12)*K12,2)</f>
        <v>135129.82</v>
      </c>
    </row>
    <row r="13" spans="1:17" ht="15" customHeight="1" x14ac:dyDescent="0.25">
      <c r="A13" s="322"/>
      <c r="B13" s="30"/>
      <c r="C13" s="93"/>
      <c r="D13" s="93"/>
      <c r="E13" s="93"/>
      <c r="F13" s="93"/>
      <c r="G13" s="93"/>
      <c r="H13" s="93"/>
      <c r="I13" s="93"/>
      <c r="J13" s="93"/>
      <c r="K13" s="93"/>
      <c r="L13" s="179"/>
      <c r="M13" s="179"/>
      <c r="N13" s="257"/>
      <c r="O13" s="257"/>
      <c r="P13" s="179"/>
      <c r="Q13" s="93"/>
    </row>
    <row r="14" spans="1:17" ht="78.75" x14ac:dyDescent="0.25">
      <c r="A14" s="301" t="s">
        <v>27</v>
      </c>
      <c r="B14" s="44"/>
      <c r="C14" s="16" t="s">
        <v>28</v>
      </c>
      <c r="D14" s="16" t="s">
        <v>22</v>
      </c>
      <c r="E14" s="16" t="s">
        <v>29</v>
      </c>
      <c r="F14" s="16" t="s">
        <v>30</v>
      </c>
      <c r="G14" s="16" t="s">
        <v>31</v>
      </c>
      <c r="H14" s="16" t="s">
        <v>32</v>
      </c>
      <c r="I14" s="16"/>
      <c r="J14" s="16"/>
      <c r="K14" s="71" t="s">
        <v>52</v>
      </c>
      <c r="L14" s="180" t="s">
        <v>131</v>
      </c>
      <c r="M14" s="180" t="s">
        <v>132</v>
      </c>
      <c r="N14" s="259"/>
      <c r="O14" s="259"/>
      <c r="P14" s="180" t="s">
        <v>133</v>
      </c>
      <c r="Q14" s="73" t="s">
        <v>102</v>
      </c>
    </row>
    <row r="15" spans="1:17" ht="18" customHeight="1" x14ac:dyDescent="0.25">
      <c r="A15" s="301"/>
      <c r="B15" s="43" t="s">
        <v>104</v>
      </c>
      <c r="C15" s="45">
        <v>35000</v>
      </c>
      <c r="D15" s="45">
        <v>1347.32</v>
      </c>
      <c r="E15" s="45"/>
      <c r="F15" s="45"/>
      <c r="G15" s="45">
        <f>+C15+D15+E15+F15</f>
        <v>36347.32</v>
      </c>
      <c r="H15" s="45">
        <f>+(C15+D15+E15)*38.38%+(F15*32.7%)</f>
        <v>13950.101416000001</v>
      </c>
      <c r="I15" s="46"/>
      <c r="J15" s="45"/>
      <c r="K15" s="39" t="str">
        <f>+IF(E15&lt;&gt;0,+ROUND(+G15+H15+I15+J15,2),"0")</f>
        <v>0</v>
      </c>
      <c r="L15" s="47"/>
      <c r="M15" s="47"/>
      <c r="N15" s="264"/>
      <c r="O15" s="264"/>
      <c r="P15" s="180"/>
      <c r="Q15" s="176">
        <f>+ROUND(+(L15+M15+P15+N15+O15)*K15,2)</f>
        <v>0</v>
      </c>
    </row>
    <row r="16" spans="1:17" ht="18" customHeight="1" x14ac:dyDescent="0.25">
      <c r="A16" s="301"/>
      <c r="B16" s="43" t="s">
        <v>105</v>
      </c>
      <c r="C16" s="16"/>
      <c r="D16" s="16"/>
      <c r="E16" s="16"/>
      <c r="F16" s="16"/>
      <c r="G16" s="16"/>
      <c r="H16" s="16"/>
      <c r="I16" s="16"/>
      <c r="J16" s="16"/>
      <c r="K16" s="39"/>
      <c r="L16" s="180"/>
      <c r="M16" s="180"/>
      <c r="N16" s="259"/>
      <c r="O16" s="259"/>
      <c r="P16" s="180"/>
      <c r="Q16" s="176">
        <f>+ROUND(+(L16+M16+P16+N16+O16)*K16,2)</f>
        <v>0</v>
      </c>
    </row>
    <row r="17" spans="1:17" ht="15" customHeight="1" x14ac:dyDescent="0.25">
      <c r="A17" s="301"/>
      <c r="B17" s="30"/>
      <c r="C17" s="93"/>
      <c r="D17" s="93"/>
      <c r="E17" s="93"/>
      <c r="F17" s="93"/>
      <c r="G17" s="93"/>
      <c r="H17" s="93"/>
      <c r="I17" s="93"/>
      <c r="J17" s="93"/>
      <c r="K17" s="93"/>
      <c r="L17" s="179"/>
      <c r="M17" s="179"/>
      <c r="N17" s="257"/>
      <c r="O17" s="257"/>
      <c r="P17" s="179"/>
      <c r="Q17" s="93"/>
    </row>
    <row r="18" spans="1:17" ht="108" customHeight="1" x14ac:dyDescent="0.25">
      <c r="A18" s="301"/>
      <c r="B18" s="44"/>
      <c r="C18" s="16" t="s">
        <v>33</v>
      </c>
      <c r="D18" s="16" t="s">
        <v>34</v>
      </c>
      <c r="E18" s="16" t="s">
        <v>54</v>
      </c>
      <c r="F18" s="16" t="s">
        <v>35</v>
      </c>
      <c r="G18" s="16" t="s">
        <v>36</v>
      </c>
      <c r="H18" s="16" t="s">
        <v>60</v>
      </c>
      <c r="I18" s="16" t="s">
        <v>64</v>
      </c>
      <c r="J18" s="16" t="s">
        <v>65</v>
      </c>
      <c r="K18" s="71" t="s">
        <v>55</v>
      </c>
      <c r="L18" s="180" t="s">
        <v>134</v>
      </c>
      <c r="M18" s="267" t="s">
        <v>230</v>
      </c>
      <c r="N18" s="267" t="s">
        <v>231</v>
      </c>
      <c r="O18" s="267" t="s">
        <v>232</v>
      </c>
      <c r="P18" s="270" t="s">
        <v>225</v>
      </c>
      <c r="Q18" s="73" t="s">
        <v>102</v>
      </c>
    </row>
    <row r="19" spans="1:17" ht="18" customHeight="1" x14ac:dyDescent="0.25">
      <c r="A19" s="301"/>
      <c r="B19" s="43" t="s">
        <v>37</v>
      </c>
      <c r="C19" s="181">
        <v>23501.93</v>
      </c>
      <c r="D19" s="182">
        <v>904.56</v>
      </c>
      <c r="E19" s="182"/>
      <c r="F19" s="183">
        <f>+ROUND((C19+D19+E19)/12,2)</f>
        <v>2033.87</v>
      </c>
      <c r="G19" s="92">
        <f>+F19+D19+C19+E19</f>
        <v>26440.36</v>
      </c>
      <c r="H19" s="184">
        <f>G19*24.2%</f>
        <v>6398.5671199999997</v>
      </c>
      <c r="I19" s="184">
        <f>G19*7.1%*80%</f>
        <v>1501.8124479999999</v>
      </c>
      <c r="J19" s="184">
        <f>G19*8.5%</f>
        <v>2247.4306000000001</v>
      </c>
      <c r="K19" s="39">
        <f>+ROUND(+G19+H19+I19+J19,2)</f>
        <v>36588.17</v>
      </c>
      <c r="L19" s="178">
        <v>56</v>
      </c>
      <c r="M19" s="178">
        <v>25</v>
      </c>
      <c r="N19" s="258"/>
      <c r="O19" s="258"/>
      <c r="P19" s="178">
        <v>194</v>
      </c>
      <c r="Q19" s="176">
        <f>+ROUND(+(L19+M19+P19+N19+O19)*K19,2)</f>
        <v>10061746.75</v>
      </c>
    </row>
    <row r="20" spans="1:17" ht="18" customHeight="1" x14ac:dyDescent="0.25">
      <c r="A20" s="301"/>
      <c r="B20" s="43" t="s">
        <v>106</v>
      </c>
      <c r="C20" s="184"/>
      <c r="D20" s="184"/>
      <c r="E20" s="184"/>
      <c r="F20" s="184"/>
      <c r="G20" s="184"/>
      <c r="H20" s="184"/>
      <c r="I20" s="184"/>
      <c r="J20" s="184"/>
      <c r="K20" s="78">
        <f>+K19-K22</f>
        <v>6460.8899999999994</v>
      </c>
      <c r="L20" s="177"/>
      <c r="M20" s="177"/>
      <c r="N20" s="256"/>
      <c r="O20" s="256"/>
      <c r="P20" s="177"/>
      <c r="Q20" s="176">
        <f>+ROUND(+(L20+M20+P20+N20+O20)*K20,2)</f>
        <v>0</v>
      </c>
    </row>
    <row r="21" spans="1:17" ht="15" customHeight="1" x14ac:dyDescent="0.25">
      <c r="A21" s="301"/>
      <c r="B21" s="50"/>
      <c r="C21" s="81"/>
      <c r="D21" s="185"/>
      <c r="E21" s="185"/>
      <c r="F21" s="81"/>
      <c r="G21" s="81"/>
      <c r="H21" s="81"/>
      <c r="I21" s="81"/>
      <c r="J21" s="81"/>
      <c r="K21" s="81"/>
      <c r="L21" s="186"/>
      <c r="M21" s="186"/>
      <c r="N21" s="260"/>
      <c r="O21" s="260"/>
      <c r="P21" s="186"/>
      <c r="Q21" s="81"/>
    </row>
    <row r="22" spans="1:17" ht="18" customHeight="1" x14ac:dyDescent="0.25">
      <c r="A22" s="301"/>
      <c r="B22" s="43" t="s">
        <v>38</v>
      </c>
      <c r="C22" s="181">
        <v>19351.97</v>
      </c>
      <c r="D22" s="182">
        <v>744.72</v>
      </c>
      <c r="E22" s="182"/>
      <c r="F22" s="183">
        <f>+ROUND((C22+D22+E22)/12,2)</f>
        <v>1674.72</v>
      </c>
      <c r="G22" s="92">
        <f>+F22+D22+C22+E22</f>
        <v>21771.41</v>
      </c>
      <c r="H22" s="184">
        <f>G22*24.2%</f>
        <v>5268.6812199999995</v>
      </c>
      <c r="I22" s="184">
        <f>G22*7.1%*80%</f>
        <v>1236.616088</v>
      </c>
      <c r="J22" s="184">
        <f>G22*8.5%</f>
        <v>1850.5698500000001</v>
      </c>
      <c r="K22" s="39">
        <f>+ROUND(+G22+H22+I22+J22,2)</f>
        <v>30127.279999999999</v>
      </c>
      <c r="L22" s="178">
        <v>25</v>
      </c>
      <c r="M22" s="178"/>
      <c r="N22" s="258">
        <v>1</v>
      </c>
      <c r="O22" s="258">
        <v>9</v>
      </c>
      <c r="P22" s="178">
        <v>65</v>
      </c>
      <c r="Q22" s="176">
        <f>+ROUND(+(L22+M22+P22+N22+O22)*K22,2)</f>
        <v>3012728</v>
      </c>
    </row>
    <row r="23" spans="1:17" ht="18" customHeight="1" x14ac:dyDescent="0.25">
      <c r="A23" s="301"/>
      <c r="B23" s="43" t="s">
        <v>107</v>
      </c>
      <c r="C23" s="181"/>
      <c r="D23" s="182"/>
      <c r="E23" s="182"/>
      <c r="F23" s="183"/>
      <c r="G23" s="92"/>
      <c r="H23" s="184"/>
      <c r="I23" s="184"/>
      <c r="J23" s="184"/>
      <c r="K23" s="78">
        <f>+K22-K25</f>
        <v>1496.25</v>
      </c>
      <c r="L23" s="177"/>
      <c r="M23" s="177"/>
      <c r="N23" s="256"/>
      <c r="O23" s="256"/>
      <c r="P23" s="177"/>
      <c r="Q23" s="176">
        <f>+ROUND(+(L23+M23+P23+N23+O23)*K23,2)</f>
        <v>0</v>
      </c>
    </row>
    <row r="24" spans="1:17" ht="15" customHeight="1" x14ac:dyDescent="0.25">
      <c r="A24" s="301"/>
      <c r="B24" s="56"/>
      <c r="C24" s="185"/>
      <c r="D24" s="83"/>
      <c r="E24" s="185"/>
      <c r="F24" s="185"/>
      <c r="G24" s="81"/>
      <c r="H24" s="83"/>
      <c r="I24" s="83"/>
      <c r="J24" s="83"/>
      <c r="K24" s="83"/>
      <c r="L24" s="187"/>
      <c r="M24" s="187"/>
      <c r="N24" s="261"/>
      <c r="O24" s="261"/>
      <c r="P24" s="187"/>
      <c r="Q24" s="83"/>
    </row>
    <row r="25" spans="1:17" ht="18" customHeight="1" x14ac:dyDescent="0.25">
      <c r="A25" s="301"/>
      <c r="B25" s="43" t="s">
        <v>39</v>
      </c>
      <c r="C25" s="181">
        <v>18390.84</v>
      </c>
      <c r="D25" s="182">
        <v>707.76</v>
      </c>
      <c r="E25" s="182"/>
      <c r="F25" s="183">
        <f>+ROUND((C25+D25+E25)/12,2)</f>
        <v>1591.55</v>
      </c>
      <c r="G25" s="92">
        <f>+F25+D25+C25+E25</f>
        <v>20690.150000000001</v>
      </c>
      <c r="H25" s="184">
        <f>G25*24.2%</f>
        <v>5007.0163000000002</v>
      </c>
      <c r="I25" s="184">
        <f>G25*7.1%*80%</f>
        <v>1175.2005200000001</v>
      </c>
      <c r="J25" s="184">
        <f>G25*8.5%</f>
        <v>1758.6627500000002</v>
      </c>
      <c r="K25" s="39">
        <f>+ROUND(+G25+H25+I25+J25,2)</f>
        <v>28631.03</v>
      </c>
      <c r="L25" s="177"/>
      <c r="M25" s="177"/>
      <c r="N25" s="256"/>
      <c r="O25" s="256"/>
      <c r="P25" s="177"/>
      <c r="Q25" s="176">
        <f>+ROUND(+(L25+M25+P25+N25+O25)*K25,2)</f>
        <v>0</v>
      </c>
    </row>
    <row r="26" spans="1:17" ht="15" customHeight="1" x14ac:dyDescent="0.25">
      <c r="A26" s="301"/>
      <c r="B26" s="50"/>
      <c r="C26" s="81"/>
      <c r="D26" s="185"/>
      <c r="E26" s="185"/>
      <c r="F26" s="81"/>
      <c r="G26" s="81"/>
      <c r="H26" s="83"/>
      <c r="I26" s="83"/>
      <c r="J26" s="83"/>
      <c r="K26" s="83"/>
      <c r="L26" s="187"/>
      <c r="M26" s="187"/>
      <c r="N26" s="261"/>
      <c r="O26" s="261"/>
      <c r="P26" s="187"/>
      <c r="Q26" s="83"/>
    </row>
    <row r="27" spans="1:17" ht="33.75" customHeight="1" x14ac:dyDescent="0.3">
      <c r="D27" s="2"/>
      <c r="E27" s="2"/>
      <c r="J27" s="2"/>
      <c r="K27" s="232" t="s">
        <v>40</v>
      </c>
      <c r="L27" s="61">
        <f>+SUM(L7:L26)</f>
        <v>83</v>
      </c>
      <c r="M27" s="61">
        <f>+SUM(M7:M26)</f>
        <v>25</v>
      </c>
      <c r="N27" s="61">
        <f t="shared" ref="N27:O27" si="0">+SUM(N7:N26)</f>
        <v>1</v>
      </c>
      <c r="O27" s="61">
        <f t="shared" si="0"/>
        <v>9</v>
      </c>
      <c r="P27" s="198">
        <f>+SUM(P7:P26)</f>
        <v>259</v>
      </c>
      <c r="Q27" s="190">
        <f>+SUM(Q7:Q26)</f>
        <v>13209604.57</v>
      </c>
    </row>
    <row r="28" spans="1:17" ht="24" customHeight="1" x14ac:dyDescent="0.25">
      <c r="L28" s="110"/>
      <c r="P28" s="1"/>
      <c r="Q28" s="191" t="s">
        <v>108</v>
      </c>
    </row>
    <row r="29" spans="1:17" ht="48" customHeight="1" x14ac:dyDescent="0.25">
      <c r="L29" s="110"/>
      <c r="P29" s="192" t="s">
        <v>135</v>
      </c>
      <c r="Q29" s="193">
        <f>+ROUND(+($L$11*$K$11)+($K$12*$L$12)+($K$19*$L$19)+($K$20*$L$20)+($K$22*$L$22)+($K$23*$L$23)+($K$25*$L$25)+($K$15*$L$15)+($K$16*$L$16)+($K$8*$L$8)+($K$7*$L$7),2)</f>
        <v>2937249.34</v>
      </c>
    </row>
    <row r="30" spans="1:17" ht="63" x14ac:dyDescent="0.25">
      <c r="L30" s="110"/>
      <c r="P30" s="192" t="s">
        <v>110</v>
      </c>
      <c r="Q30" s="193">
        <f>ROUND(((M19+N19+O19)*K19)+((M22+N22+O22)*K22),2)</f>
        <v>1215977.05</v>
      </c>
    </row>
    <row r="31" spans="1:17" ht="34.5" customHeight="1" x14ac:dyDescent="0.25">
      <c r="E31" s="89"/>
      <c r="F31" s="89"/>
      <c r="G31" s="89"/>
      <c r="H31" s="89"/>
      <c r="I31" s="89"/>
      <c r="J31" s="89"/>
      <c r="K31" s="89"/>
      <c r="L31" s="110"/>
      <c r="P31" s="192" t="s">
        <v>111</v>
      </c>
      <c r="Q31" s="193">
        <f>ROUND((P19*K19)+(P22*K22),2)</f>
        <v>9056378.1799999997</v>
      </c>
    </row>
    <row r="32" spans="1:17" ht="17.25" customHeight="1" x14ac:dyDescent="0.25"/>
    <row r="34" spans="1:17" ht="19.5" customHeight="1" x14ac:dyDescent="0.25">
      <c r="A34" s="305" t="s">
        <v>41</v>
      </c>
      <c r="B34" s="305"/>
      <c r="C34" s="305"/>
      <c r="D34" s="305"/>
      <c r="E34" s="305"/>
      <c r="F34" s="305"/>
      <c r="G34" s="305"/>
      <c r="H34" s="305"/>
      <c r="I34" s="305"/>
      <c r="J34" s="305"/>
      <c r="K34" s="305"/>
      <c r="L34" s="305"/>
      <c r="M34" s="305"/>
      <c r="N34" s="306"/>
      <c r="O34" s="306"/>
      <c r="P34" s="305"/>
      <c r="Q34" s="305"/>
    </row>
    <row r="35" spans="1:17" ht="19.5" customHeight="1" x14ac:dyDescent="0.25">
      <c r="A35" s="307" t="s">
        <v>122</v>
      </c>
      <c r="B35" s="307"/>
      <c r="C35" s="307"/>
      <c r="D35" s="307"/>
      <c r="E35" s="307"/>
      <c r="F35" s="307"/>
      <c r="G35" s="307"/>
      <c r="H35" s="307"/>
      <c r="I35" s="307"/>
      <c r="J35" s="307"/>
      <c r="K35" s="307"/>
      <c r="L35" s="307"/>
      <c r="M35" s="307"/>
      <c r="N35" s="308"/>
      <c r="O35" s="308"/>
      <c r="P35" s="307"/>
      <c r="Q35" s="307"/>
    </row>
    <row r="36" spans="1:17" ht="19.5" customHeight="1" x14ac:dyDescent="0.25">
      <c r="A36" s="307" t="s">
        <v>113</v>
      </c>
      <c r="B36" s="307"/>
      <c r="C36" s="307"/>
      <c r="D36" s="307"/>
      <c r="E36" s="307"/>
      <c r="F36" s="307"/>
      <c r="G36" s="307"/>
      <c r="H36" s="307"/>
      <c r="I36" s="307"/>
      <c r="J36" s="307"/>
      <c r="K36" s="307"/>
      <c r="L36" s="307"/>
      <c r="M36" s="307"/>
      <c r="N36" s="308"/>
      <c r="O36" s="308"/>
      <c r="P36" s="307"/>
      <c r="Q36" s="307"/>
    </row>
    <row r="37" spans="1:17" x14ac:dyDescent="0.25">
      <c r="A37" s="309" t="s">
        <v>136</v>
      </c>
      <c r="B37" s="309"/>
      <c r="C37" s="309"/>
      <c r="D37" s="309"/>
      <c r="E37" s="309"/>
      <c r="F37" s="309"/>
      <c r="G37" s="309"/>
      <c r="H37" s="309"/>
      <c r="I37" s="309"/>
      <c r="J37" s="309"/>
      <c r="K37" s="309"/>
      <c r="L37" s="309"/>
      <c r="M37" s="309"/>
      <c r="N37" s="310"/>
      <c r="O37" s="310"/>
      <c r="P37" s="309"/>
      <c r="Q37" s="309"/>
    </row>
    <row r="38" spans="1:17" x14ac:dyDescent="0.25">
      <c r="A38" s="309" t="s">
        <v>124</v>
      </c>
      <c r="B38" s="309"/>
      <c r="C38" s="309"/>
      <c r="D38" s="309"/>
      <c r="E38" s="309"/>
      <c r="F38" s="309"/>
      <c r="G38" s="309"/>
      <c r="H38" s="309"/>
      <c r="I38" s="309"/>
      <c r="J38" s="309"/>
      <c r="K38" s="309"/>
      <c r="L38" s="309"/>
      <c r="M38" s="309"/>
      <c r="N38" s="310"/>
      <c r="O38" s="310"/>
      <c r="P38" s="309"/>
      <c r="Q38" s="309"/>
    </row>
    <row r="39" spans="1:17" s="194" customFormat="1" ht="41.25" customHeight="1" x14ac:dyDescent="0.25">
      <c r="A39" s="309" t="s">
        <v>137</v>
      </c>
      <c r="B39" s="309"/>
      <c r="C39" s="309"/>
      <c r="D39" s="309"/>
      <c r="E39" s="309"/>
      <c r="F39" s="309"/>
      <c r="G39" s="309"/>
      <c r="H39" s="309"/>
      <c r="I39" s="309"/>
      <c r="J39" s="309"/>
      <c r="K39" s="309"/>
      <c r="L39" s="309"/>
      <c r="M39" s="309"/>
      <c r="N39" s="310"/>
      <c r="O39" s="310"/>
      <c r="P39" s="309"/>
      <c r="Q39" s="309"/>
    </row>
  </sheetData>
  <mergeCells count="16">
    <mergeCell ref="A35:Q35"/>
    <mergeCell ref="A36:Q36"/>
    <mergeCell ref="A37:Q37"/>
    <mergeCell ref="A38:Q38"/>
    <mergeCell ref="A39:Q39"/>
    <mergeCell ref="A5:Q5"/>
    <mergeCell ref="A6:A8"/>
    <mergeCell ref="A10:A12"/>
    <mergeCell ref="A14:A26"/>
    <mergeCell ref="A34:Q34"/>
    <mergeCell ref="A1:C1"/>
    <mergeCell ref="I1:L1"/>
    <mergeCell ref="A2:C2"/>
    <mergeCell ref="I2:L3"/>
    <mergeCell ref="A3:C3"/>
    <mergeCell ref="D3:E3"/>
  </mergeCells>
  <hyperlinks>
    <hyperlink ref="D3" r:id="rId1" xr:uid="{00000000-0004-0000-0900-000000000000}"/>
  </hyperlinks>
  <pageMargins left="0.45" right="0.47013888888888899" top="0.34" bottom="0.17" header="0.25" footer="0.27"/>
  <pageSetup paperSize="8" scale="70" orientation="landscape"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rgb="FF44546A"/>
    <pageSetUpPr fitToPage="1"/>
  </sheetPr>
  <dimension ref="A1:AMJ24"/>
  <sheetViews>
    <sheetView showGridLines="0" zoomScale="80" zoomScaleNormal="80" workbookViewId="0">
      <selection activeCell="A6" sqref="A6:A20"/>
    </sheetView>
  </sheetViews>
  <sheetFormatPr defaultColWidth="8.5703125" defaultRowHeight="15.75" x14ac:dyDescent="0.25"/>
  <cols>
    <col min="1" max="1" width="18.140625" style="1" customWidth="1"/>
    <col min="2" max="2" width="16.7109375" style="1" customWidth="1"/>
    <col min="3" max="3" width="16.28515625" style="1" customWidth="1"/>
    <col min="4" max="4" width="18.7109375" style="1" customWidth="1"/>
    <col min="5" max="5" width="14.42578125" style="1" customWidth="1"/>
    <col min="6" max="6" width="13.42578125" style="1" customWidth="1"/>
    <col min="7" max="7" width="16.7109375" style="1" customWidth="1"/>
    <col min="8" max="8" width="17.85546875" style="1" customWidth="1"/>
    <col min="9" max="9" width="15.7109375" style="1" customWidth="1"/>
    <col min="10" max="10" width="16.42578125" style="1" customWidth="1"/>
    <col min="11" max="11" width="15.5703125" style="1" customWidth="1"/>
    <col min="12" max="12" width="13.7109375" style="1" customWidth="1"/>
    <col min="13" max="13" width="20.42578125" style="1" customWidth="1"/>
    <col min="14" max="255" width="8.5703125" style="1"/>
    <col min="256" max="256" width="5.5703125" style="1" customWidth="1"/>
    <col min="257" max="257" width="13.28515625" style="1" customWidth="1"/>
    <col min="258" max="258" width="16.28515625" style="1" customWidth="1"/>
    <col min="259" max="259" width="15.28515625" style="1" customWidth="1"/>
    <col min="260" max="260" width="14.42578125" style="1" customWidth="1"/>
    <col min="261" max="261" width="13.42578125" style="1" customWidth="1"/>
    <col min="262" max="262" width="12.7109375" style="1" customWidth="1"/>
    <col min="263" max="263" width="14" style="1" customWidth="1"/>
    <col min="264" max="264" width="15.7109375" style="1" customWidth="1"/>
    <col min="265" max="265" width="11.7109375" style="1" customWidth="1"/>
    <col min="266" max="266" width="10.7109375" style="1" customWidth="1"/>
    <col min="267" max="267" width="13.7109375" style="1" customWidth="1"/>
    <col min="268" max="268" width="13.5703125" style="1" customWidth="1"/>
    <col min="269" max="269" width="17.7109375" style="1" customWidth="1"/>
    <col min="270" max="511" width="8.5703125" style="1"/>
    <col min="512" max="512" width="5.5703125" style="1" customWidth="1"/>
    <col min="513" max="513" width="13.28515625" style="1" customWidth="1"/>
    <col min="514" max="514" width="16.28515625" style="1" customWidth="1"/>
    <col min="515" max="515" width="15.28515625" style="1" customWidth="1"/>
    <col min="516" max="516" width="14.42578125" style="1" customWidth="1"/>
    <col min="517" max="517" width="13.42578125" style="1" customWidth="1"/>
    <col min="518" max="518" width="12.7109375" style="1" customWidth="1"/>
    <col min="519" max="519" width="14" style="1" customWidth="1"/>
    <col min="520" max="520" width="15.7109375" style="1" customWidth="1"/>
    <col min="521" max="521" width="11.7109375" style="1" customWidth="1"/>
    <col min="522" max="522" width="10.7109375" style="1" customWidth="1"/>
    <col min="523" max="523" width="13.7109375" style="1" customWidth="1"/>
    <col min="524" max="524" width="13.5703125" style="1" customWidth="1"/>
    <col min="525" max="525" width="17.7109375" style="1" customWidth="1"/>
    <col min="526" max="767" width="8.5703125" style="1"/>
    <col min="768" max="768" width="5.5703125" style="1" customWidth="1"/>
    <col min="769" max="769" width="13.28515625" style="1" customWidth="1"/>
    <col min="770" max="770" width="16.28515625" style="1" customWidth="1"/>
    <col min="771" max="771" width="15.28515625" style="1" customWidth="1"/>
    <col min="772" max="772" width="14.42578125" style="1" customWidth="1"/>
    <col min="773" max="773" width="13.42578125" style="1" customWidth="1"/>
    <col min="774" max="774" width="12.7109375" style="1" customWidth="1"/>
    <col min="775" max="775" width="14" style="1" customWidth="1"/>
    <col min="776" max="776" width="15.7109375" style="1" customWidth="1"/>
    <col min="777" max="777" width="11.7109375" style="1" customWidth="1"/>
    <col min="778" max="778" width="10.7109375" style="1" customWidth="1"/>
    <col min="779" max="779" width="13.7109375" style="1" customWidth="1"/>
    <col min="780" max="780" width="13.5703125" style="1" customWidth="1"/>
    <col min="781" max="781" width="17.7109375" style="1" customWidth="1"/>
    <col min="782" max="1023" width="8.5703125" style="1"/>
    <col min="1024" max="1024" width="5.5703125" style="1" customWidth="1"/>
  </cols>
  <sheetData>
    <row r="1" spans="1:13" ht="14.25" customHeight="1" x14ac:dyDescent="0.25">
      <c r="A1" s="274" t="s">
        <v>42</v>
      </c>
      <c r="B1" s="274"/>
      <c r="C1" s="274"/>
      <c r="D1" s="195" t="s">
        <v>43</v>
      </c>
      <c r="E1" s="66"/>
      <c r="F1" s="5"/>
      <c r="I1" s="275" t="s">
        <v>1</v>
      </c>
      <c r="J1" s="275"/>
      <c r="K1" s="275"/>
      <c r="L1" s="275"/>
      <c r="M1" s="6" t="s">
        <v>165</v>
      </c>
    </row>
    <row r="2" spans="1:13" ht="12.75" customHeight="1" x14ac:dyDescent="0.25">
      <c r="A2" s="277" t="s">
        <v>44</v>
      </c>
      <c r="B2" s="277"/>
      <c r="C2" s="277"/>
      <c r="D2" s="68" t="s">
        <v>45</v>
      </c>
      <c r="E2" s="14"/>
      <c r="F2" s="8"/>
      <c r="H2" s="9"/>
      <c r="I2" s="281" t="s">
        <v>3</v>
      </c>
      <c r="J2" s="281"/>
      <c r="K2" s="281"/>
      <c r="L2" s="281"/>
    </row>
    <row r="3" spans="1:13" ht="19.5" customHeight="1" x14ac:dyDescent="0.25">
      <c r="A3" s="279" t="s">
        <v>46</v>
      </c>
      <c r="B3" s="279" t="s">
        <v>5</v>
      </c>
      <c r="C3" s="279" t="s">
        <v>5</v>
      </c>
      <c r="D3" s="284" t="s">
        <v>47</v>
      </c>
      <c r="E3" s="284"/>
      <c r="F3" s="12"/>
      <c r="I3" s="281"/>
      <c r="J3" s="281"/>
      <c r="K3" s="281"/>
      <c r="L3" s="281"/>
    </row>
    <row r="4" spans="1:13" ht="16.5" customHeight="1" x14ac:dyDescent="0.25">
      <c r="A4" s="13"/>
      <c r="B4" s="13"/>
      <c r="C4" s="13"/>
      <c r="D4" s="13"/>
      <c r="E4" s="13"/>
      <c r="F4" s="13"/>
      <c r="G4" s="13"/>
      <c r="H4" s="13"/>
      <c r="I4" s="13"/>
      <c r="J4" s="13"/>
      <c r="K4" s="13"/>
      <c r="L4" s="13"/>
      <c r="M4" s="15"/>
    </row>
    <row r="5" spans="1:13" ht="19.5" customHeight="1" x14ac:dyDescent="0.25">
      <c r="A5" s="312" t="s">
        <v>138</v>
      </c>
      <c r="B5" s="312"/>
      <c r="C5" s="312"/>
      <c r="D5" s="312"/>
      <c r="E5" s="312"/>
      <c r="F5" s="312"/>
      <c r="G5" s="312"/>
      <c r="H5" s="312"/>
      <c r="I5" s="312"/>
      <c r="J5" s="312"/>
      <c r="K5" s="312"/>
      <c r="L5" s="312"/>
      <c r="M5" s="312"/>
    </row>
    <row r="6" spans="1:13" ht="86.25" customHeight="1" x14ac:dyDescent="0.25">
      <c r="A6" s="301" t="s">
        <v>6</v>
      </c>
      <c r="B6" s="16" t="s">
        <v>7</v>
      </c>
      <c r="C6" s="16" t="s">
        <v>8</v>
      </c>
      <c r="D6" s="16" t="s">
        <v>9</v>
      </c>
      <c r="E6" s="17" t="s">
        <v>10</v>
      </c>
      <c r="F6" s="18"/>
      <c r="G6" s="16" t="s">
        <v>11</v>
      </c>
      <c r="H6" s="19" t="s">
        <v>12</v>
      </c>
      <c r="I6" s="19" t="s">
        <v>13</v>
      </c>
      <c r="J6" s="19" t="s">
        <v>14</v>
      </c>
      <c r="K6" s="20" t="s">
        <v>15</v>
      </c>
      <c r="L6" s="26" t="s">
        <v>139</v>
      </c>
      <c r="M6" s="200" t="s">
        <v>140</v>
      </c>
    </row>
    <row r="7" spans="1:13" ht="31.5" customHeight="1" x14ac:dyDescent="0.25">
      <c r="A7" s="301"/>
      <c r="B7" s="22" t="s">
        <v>18</v>
      </c>
      <c r="C7" s="229">
        <v>42199.62</v>
      </c>
      <c r="D7" s="229">
        <v>12155.3</v>
      </c>
      <c r="E7" s="228">
        <f>+(C7+D7)/12</f>
        <v>4529.5766666666668</v>
      </c>
      <c r="F7" s="18"/>
      <c r="G7" s="23">
        <f>+C7+D7+E7</f>
        <v>58884.496666666666</v>
      </c>
      <c r="H7" s="24">
        <f>+(C7+C7/12)*27.83%+(D7+D7/12)*24.2%</f>
        <v>15909.548249833335</v>
      </c>
      <c r="I7" s="24">
        <f>+G7*8.5%</f>
        <v>5005.182216666667</v>
      </c>
      <c r="J7" s="24">
        <f>+(C7+C7/12)*5.68%+(D7+D7/12)*3.41%</f>
        <v>3045.7203248333335</v>
      </c>
      <c r="K7" s="25">
        <f>+G7+H7+I7+J7</f>
        <v>82844.94745800001</v>
      </c>
      <c r="L7" s="40"/>
      <c r="M7" s="201">
        <f>+ROUND((L7*K7),2)</f>
        <v>0</v>
      </c>
    </row>
    <row r="8" spans="1:13" ht="30" customHeight="1" x14ac:dyDescent="0.25">
      <c r="A8" s="301"/>
      <c r="B8" s="17" t="s">
        <v>19</v>
      </c>
      <c r="C8" s="229">
        <v>27822.22</v>
      </c>
      <c r="D8" s="229">
        <v>11128.51</v>
      </c>
      <c r="E8" s="228">
        <f>+(C8+D8)/12</f>
        <v>3245.8941666666669</v>
      </c>
      <c r="F8" s="18"/>
      <c r="G8" s="23">
        <f>+C8+D8+E8</f>
        <v>42196.624166666668</v>
      </c>
      <c r="H8" s="24">
        <f>+(C8+C8/12)*27.83%+(D8+D8/12)*24.2%</f>
        <v>11305.691849833333</v>
      </c>
      <c r="I8" s="24">
        <f>+G8*8.5%</f>
        <v>3586.713054166667</v>
      </c>
      <c r="J8" s="24">
        <f>+(C8+C8/12)*5.68%+(D8+D8/12)*3.41%</f>
        <v>2123.09964425</v>
      </c>
      <c r="K8" s="25">
        <f>+G8+H8+I8+J8</f>
        <v>59212.128714916675</v>
      </c>
      <c r="L8" s="40"/>
      <c r="M8" s="201">
        <f>+ROUND((L8*K8),2)</f>
        <v>0</v>
      </c>
    </row>
    <row r="9" spans="1:13" ht="19.5" customHeight="1" x14ac:dyDescent="0.25">
      <c r="A9" s="322"/>
      <c r="B9" s="29"/>
      <c r="C9" s="29"/>
      <c r="D9" s="29"/>
      <c r="E9" s="29"/>
      <c r="F9" s="29"/>
      <c r="G9" s="29"/>
      <c r="H9" s="29"/>
      <c r="I9" s="29"/>
      <c r="J9" s="29"/>
      <c r="K9" s="29"/>
      <c r="L9" s="29"/>
      <c r="M9" s="29"/>
    </row>
    <row r="10" spans="1:13" ht="63" customHeight="1" x14ac:dyDescent="0.25">
      <c r="A10" s="302" t="s">
        <v>20</v>
      </c>
      <c r="B10" s="202" t="s">
        <v>7</v>
      </c>
      <c r="C10" s="202" t="s">
        <v>21</v>
      </c>
      <c r="D10" s="16" t="s">
        <v>22</v>
      </c>
      <c r="E10" s="202"/>
      <c r="F10" s="202"/>
      <c r="G10" s="202" t="s">
        <v>11</v>
      </c>
      <c r="H10" s="202" t="s">
        <v>60</v>
      </c>
      <c r="I10" s="202" t="s">
        <v>61</v>
      </c>
      <c r="J10" s="202" t="s">
        <v>62</v>
      </c>
      <c r="K10" s="131" t="s">
        <v>15</v>
      </c>
      <c r="L10" s="26" t="s">
        <v>139</v>
      </c>
      <c r="M10" s="200" t="s">
        <v>140</v>
      </c>
    </row>
    <row r="11" spans="1:13" ht="18" customHeight="1" x14ac:dyDescent="0.25">
      <c r="A11" s="302"/>
      <c r="B11" s="34" t="s">
        <v>25</v>
      </c>
      <c r="C11" s="35">
        <v>60102.87</v>
      </c>
      <c r="D11" s="36">
        <v>2314.2600000000002</v>
      </c>
      <c r="E11" s="2"/>
      <c r="F11" s="18"/>
      <c r="G11" s="37">
        <f>+C11+D11</f>
        <v>62417.130000000005</v>
      </c>
      <c r="H11" s="38">
        <f>G11*24.2%</f>
        <v>15104.945460000001</v>
      </c>
      <c r="I11" s="38">
        <f>G11*7.1%*80%</f>
        <v>3545.2929839999997</v>
      </c>
      <c r="J11" s="38">
        <f>G11*8.5%</f>
        <v>5305.4560500000007</v>
      </c>
      <c r="K11" s="39">
        <f>+ROUND(+G11+H11+I11+J11,2)</f>
        <v>86372.82</v>
      </c>
      <c r="L11" s="40"/>
      <c r="M11" s="201">
        <f>+ROUND((L11*K11),2)</f>
        <v>0</v>
      </c>
    </row>
    <row r="12" spans="1:13" ht="18" customHeight="1" x14ac:dyDescent="0.25">
      <c r="A12" s="302"/>
      <c r="B12" s="34" t="s">
        <v>26</v>
      </c>
      <c r="C12" s="35">
        <v>47015.77</v>
      </c>
      <c r="D12" s="36">
        <v>1809.86</v>
      </c>
      <c r="E12" s="43"/>
      <c r="F12" s="18"/>
      <c r="G12" s="37">
        <f>+C12+D12</f>
        <v>48825.63</v>
      </c>
      <c r="H12" s="38">
        <f>G12*24.2%</f>
        <v>11815.802459999999</v>
      </c>
      <c r="I12" s="38">
        <f>G12*7.1%*80%</f>
        <v>2773.2957839999999</v>
      </c>
      <c r="J12" s="38">
        <f>G12*8.5%</f>
        <v>4150.1785499999996</v>
      </c>
      <c r="K12" s="39">
        <f>+ROUND(+G12+H12+I12+J12,2)</f>
        <v>67564.91</v>
      </c>
      <c r="L12" s="40"/>
      <c r="M12" s="201">
        <f>+ROUND((L12*K12),2)</f>
        <v>0</v>
      </c>
    </row>
    <row r="13" spans="1:13" ht="14.25" customHeight="1" x14ac:dyDescent="0.25">
      <c r="A13" s="322"/>
      <c r="B13" s="30"/>
      <c r="C13" s="93"/>
      <c r="D13" s="93"/>
      <c r="E13" s="93"/>
      <c r="F13" s="93"/>
      <c r="G13" s="93"/>
      <c r="H13" s="93"/>
      <c r="I13" s="93"/>
      <c r="J13" s="93"/>
      <c r="K13" s="93"/>
      <c r="L13" s="93"/>
      <c r="M13" s="93"/>
    </row>
    <row r="14" spans="1:13" ht="84.75" customHeight="1" x14ac:dyDescent="0.25">
      <c r="A14" s="301" t="s">
        <v>27</v>
      </c>
      <c r="B14" s="44"/>
      <c r="C14" s="16" t="s">
        <v>33</v>
      </c>
      <c r="D14" s="16" t="s">
        <v>34</v>
      </c>
      <c r="E14" s="16" t="s">
        <v>54</v>
      </c>
      <c r="F14" s="16" t="s">
        <v>35</v>
      </c>
      <c r="G14" s="16" t="s">
        <v>36</v>
      </c>
      <c r="H14" s="16" t="s">
        <v>60</v>
      </c>
      <c r="I14" s="16" t="s">
        <v>64</v>
      </c>
      <c r="J14" s="16" t="s">
        <v>65</v>
      </c>
      <c r="K14" s="71" t="s">
        <v>55</v>
      </c>
      <c r="L14" s="72" t="s">
        <v>139</v>
      </c>
      <c r="M14" s="73" t="s">
        <v>140</v>
      </c>
    </row>
    <row r="15" spans="1:13" ht="15.75" customHeight="1" x14ac:dyDescent="0.25">
      <c r="A15" s="301"/>
      <c r="B15" s="43" t="s">
        <v>37</v>
      </c>
      <c r="C15" s="203">
        <v>23501.93</v>
      </c>
      <c r="D15" s="41">
        <v>904.56</v>
      </c>
      <c r="E15" s="203"/>
      <c r="F15" s="183">
        <f>+ROUND((C15+D15+E15)/12,2)</f>
        <v>2033.87</v>
      </c>
      <c r="G15" s="204">
        <f>+F15+D15+C15+E15</f>
        <v>26440.36</v>
      </c>
      <c r="H15" s="205">
        <f>G15*24.2%</f>
        <v>6398.5671199999997</v>
      </c>
      <c r="I15" s="205">
        <f>G15*7.1%*80%</f>
        <v>1501.8124479999999</v>
      </c>
      <c r="J15" s="205">
        <f>G15*8.5%</f>
        <v>2247.4306000000001</v>
      </c>
      <c r="K15" s="39">
        <f>+ROUND(+G15+H15+I15+J15,2)</f>
        <v>36588.17</v>
      </c>
      <c r="L15" s="40">
        <v>2</v>
      </c>
      <c r="M15" s="201">
        <f>+ROUND((L15*K15),2)</f>
        <v>73176.34</v>
      </c>
    </row>
    <row r="16" spans="1:13" x14ac:dyDescent="0.25">
      <c r="A16" s="301"/>
      <c r="B16" s="50"/>
      <c r="C16" s="97"/>
      <c r="D16" s="59"/>
      <c r="E16" s="98"/>
      <c r="F16" s="97"/>
      <c r="G16" s="97"/>
      <c r="H16" s="97"/>
      <c r="I16" s="97"/>
      <c r="J16" s="97"/>
      <c r="K16" s="97"/>
      <c r="L16" s="97"/>
      <c r="M16" s="97"/>
    </row>
    <row r="17" spans="1:13" ht="15" customHeight="1" x14ac:dyDescent="0.25">
      <c r="A17" s="301"/>
      <c r="B17" s="43" t="s">
        <v>38</v>
      </c>
      <c r="C17" s="203">
        <v>19351.97</v>
      </c>
      <c r="D17" s="41">
        <v>744.72</v>
      </c>
      <c r="E17" s="203"/>
      <c r="F17" s="183">
        <f>+ROUND((C17+D17+E17)/12,2)</f>
        <v>1674.72</v>
      </c>
      <c r="G17" s="204">
        <f>+F17+D17+C17+E17</f>
        <v>21771.41</v>
      </c>
      <c r="H17" s="205">
        <f>G17*24.2%</f>
        <v>5268.6812199999995</v>
      </c>
      <c r="I17" s="205">
        <f>G17*7.1%*80%</f>
        <v>1236.616088</v>
      </c>
      <c r="J17" s="205">
        <f>G17*8.5%</f>
        <v>1850.5698500000001</v>
      </c>
      <c r="K17" s="39">
        <f>+ROUND(+G17+H17+I17+J17,2)</f>
        <v>30127.279999999999</v>
      </c>
      <c r="L17" s="40"/>
      <c r="M17" s="201">
        <f>+ROUND((L17*K17),2)</f>
        <v>0</v>
      </c>
    </row>
    <row r="18" spans="1:13" ht="15" customHeight="1" x14ac:dyDescent="0.25">
      <c r="A18" s="301"/>
      <c r="B18" s="56"/>
      <c r="C18" s="50"/>
      <c r="D18" s="59"/>
      <c r="E18" s="98"/>
      <c r="F18" s="98"/>
      <c r="G18" s="97"/>
      <c r="H18" s="99"/>
      <c r="I18" s="99"/>
      <c r="J18" s="99"/>
      <c r="K18" s="99"/>
      <c r="L18" s="99"/>
      <c r="M18" s="99"/>
    </row>
    <row r="19" spans="1:13" x14ac:dyDescent="0.25">
      <c r="A19" s="301"/>
      <c r="B19" s="43" t="s">
        <v>39</v>
      </c>
      <c r="C19" s="203">
        <v>18390.84</v>
      </c>
      <c r="D19" s="41">
        <v>707.76</v>
      </c>
      <c r="E19" s="203"/>
      <c r="F19" s="183">
        <f>+ROUND((C19+D19+E19)/12,2)</f>
        <v>1591.55</v>
      </c>
      <c r="G19" s="204">
        <f>+F19+D19+C19+E19</f>
        <v>20690.150000000001</v>
      </c>
      <c r="H19" s="205">
        <f>G19*24.2%</f>
        <v>5007.0163000000002</v>
      </c>
      <c r="I19" s="205">
        <f>G19*7.1%*80%</f>
        <v>1175.2005200000001</v>
      </c>
      <c r="J19" s="205">
        <f>G19*8.5%</f>
        <v>1758.6627500000002</v>
      </c>
      <c r="K19" s="39">
        <f>+ROUND(+G19+H19+I19+J19,2)</f>
        <v>28631.03</v>
      </c>
      <c r="L19" s="40"/>
      <c r="M19" s="201">
        <f>+ROUND((L19*K19),2)</f>
        <v>0</v>
      </c>
    </row>
    <row r="20" spans="1:13" x14ac:dyDescent="0.25">
      <c r="A20" s="301"/>
      <c r="B20" s="50"/>
      <c r="C20" s="97"/>
      <c r="D20" s="98"/>
      <c r="E20" s="98"/>
      <c r="F20" s="97"/>
      <c r="G20" s="97"/>
      <c r="H20" s="99"/>
      <c r="I20" s="99"/>
      <c r="J20" s="99"/>
      <c r="K20" s="99"/>
      <c r="L20" s="99"/>
      <c r="M20" s="99"/>
    </row>
    <row r="21" spans="1:13" ht="33.75" customHeight="1" x14ac:dyDescent="0.3">
      <c r="D21" s="2"/>
      <c r="E21" s="2"/>
      <c r="J21" s="2"/>
      <c r="K21" s="231" t="s">
        <v>40</v>
      </c>
      <c r="L21" s="230">
        <f>+SUM(L11:L19)</f>
        <v>2</v>
      </c>
      <c r="M21" s="206">
        <f>+SUM(M11:M19)</f>
        <v>73176.34</v>
      </c>
    </row>
    <row r="24" spans="1:13" x14ac:dyDescent="0.25">
      <c r="A24" s="207" t="s">
        <v>141</v>
      </c>
    </row>
  </sheetData>
  <mergeCells count="10">
    <mergeCell ref="A5:M5"/>
    <mergeCell ref="A6:A8"/>
    <mergeCell ref="A10:A12"/>
    <mergeCell ref="A14:A20"/>
    <mergeCell ref="A1:C1"/>
    <mergeCell ref="I1:L1"/>
    <mergeCell ref="A2:C2"/>
    <mergeCell ref="I2:L3"/>
    <mergeCell ref="A3:C3"/>
    <mergeCell ref="D3:E3"/>
  </mergeCells>
  <hyperlinks>
    <hyperlink ref="D3" r:id="rId1" xr:uid="{00000000-0004-0000-0A00-000000000000}"/>
  </hyperlinks>
  <pageMargins left="0.45" right="0.47013888888888899" top="0.62013888888888902" bottom="0.47013888888888899" header="0.511811023622047" footer="0.511811023622047"/>
  <pageSetup paperSize="9" scale="67" orientation="landscape"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rgb="FF44546A"/>
  </sheetPr>
  <dimension ref="A1:AMJ20"/>
  <sheetViews>
    <sheetView showGridLines="0" zoomScale="80" zoomScaleNormal="80" workbookViewId="0">
      <selection activeCell="J7" sqref="J7"/>
    </sheetView>
  </sheetViews>
  <sheetFormatPr defaultColWidth="9.28515625" defaultRowHeight="15" x14ac:dyDescent="0.25"/>
  <cols>
    <col min="1" max="3" width="9.28515625" style="208"/>
    <col min="4" max="4" width="7.5703125" style="208" customWidth="1"/>
    <col min="5" max="5" width="10.28515625" style="208" customWidth="1"/>
    <col min="6" max="6" width="8.28515625" style="208" customWidth="1"/>
    <col min="7" max="7" width="6.42578125" style="208" customWidth="1"/>
    <col min="8" max="259" width="9.28515625" style="208"/>
    <col min="260" max="260" width="4.5703125" style="208" customWidth="1"/>
    <col min="261" max="261" width="10.28515625" style="208" customWidth="1"/>
    <col min="262" max="262" width="8.28515625" style="208" customWidth="1"/>
    <col min="263" max="263" width="6.42578125" style="208" customWidth="1"/>
    <col min="264" max="515" width="9.28515625" style="208"/>
    <col min="516" max="516" width="4.5703125" style="208" customWidth="1"/>
    <col min="517" max="517" width="10.28515625" style="208" customWidth="1"/>
    <col min="518" max="518" width="8.28515625" style="208" customWidth="1"/>
    <col min="519" max="519" width="6.42578125" style="208" customWidth="1"/>
    <col min="520" max="771" width="9.28515625" style="208"/>
    <col min="772" max="772" width="4.5703125" style="208" customWidth="1"/>
    <col min="773" max="773" width="10.28515625" style="208" customWidth="1"/>
    <col min="774" max="774" width="8.28515625" style="208" customWidth="1"/>
    <col min="775" max="775" width="6.42578125" style="208" customWidth="1"/>
    <col min="776" max="1024" width="9.28515625" style="208"/>
  </cols>
  <sheetData>
    <row r="1" spans="1:12" x14ac:dyDescent="0.25">
      <c r="H1" s="209"/>
      <c r="I1" s="223" t="s">
        <v>166</v>
      </c>
    </row>
    <row r="2" spans="1:12" ht="36" customHeight="1" x14ac:dyDescent="0.25">
      <c r="A2" s="313" t="s">
        <v>142</v>
      </c>
      <c r="B2" s="313"/>
      <c r="C2" s="313"/>
      <c r="D2" s="313"/>
      <c r="H2" s="210"/>
    </row>
    <row r="3" spans="1:12" ht="13.5" customHeight="1" x14ac:dyDescent="0.25"/>
    <row r="5" spans="1:12" ht="13.5" customHeight="1" x14ac:dyDescent="0.25">
      <c r="C5" s="324">
        <v>2024</v>
      </c>
      <c r="D5" s="324" t="s">
        <v>5</v>
      </c>
    </row>
    <row r="7" spans="1:12" ht="54" customHeight="1" x14ac:dyDescent="0.35">
      <c r="A7" s="314" t="s">
        <v>143</v>
      </c>
      <c r="B7" s="314"/>
      <c r="C7" s="314"/>
      <c r="D7" s="211" t="s">
        <v>144</v>
      </c>
      <c r="E7" s="315">
        <f>+'Tab. 2  presenti in servizio'!N24</f>
        <v>105880162.49000001</v>
      </c>
      <c r="F7" s="315"/>
      <c r="G7" s="315"/>
      <c r="J7" s="212"/>
      <c r="L7" s="213"/>
    </row>
    <row r="8" spans="1:12" ht="54" customHeight="1" x14ac:dyDescent="0.35">
      <c r="A8" s="314" t="s">
        <v>145</v>
      </c>
      <c r="B8" s="314"/>
      <c r="C8" s="314"/>
      <c r="D8" s="211" t="s">
        <v>144</v>
      </c>
      <c r="E8" s="315">
        <f>+'Tab. 5 Comandati out'!M21</f>
        <v>73176.34</v>
      </c>
      <c r="F8" s="315"/>
      <c r="G8" s="315"/>
    </row>
    <row r="9" spans="1:12" ht="54" customHeight="1" x14ac:dyDescent="0.35">
      <c r="A9" s="316" t="s">
        <v>146</v>
      </c>
      <c r="B9" s="316"/>
      <c r="C9" s="316"/>
      <c r="D9" s="211" t="s">
        <v>147</v>
      </c>
      <c r="E9" s="315">
        <f>+'Tab. 3.2  Cessati anno 2024'!M23</f>
        <v>2260438.7799999998</v>
      </c>
      <c r="F9" s="315"/>
      <c r="G9" s="315"/>
      <c r="J9" s="214"/>
    </row>
    <row r="10" spans="1:12" ht="54" customHeight="1" x14ac:dyDescent="0.35">
      <c r="A10" s="316" t="s">
        <v>148</v>
      </c>
      <c r="B10" s="316"/>
      <c r="C10" s="316"/>
      <c r="D10" s="211" t="s">
        <v>144</v>
      </c>
      <c r="E10" s="315">
        <f>+'Tab. 4.2 Assunzioni  2024'!T29</f>
        <v>3919996.75</v>
      </c>
      <c r="F10" s="315"/>
      <c r="G10" s="315"/>
    </row>
    <row r="11" spans="1:12" ht="59.25" customHeight="1" x14ac:dyDescent="0.35">
      <c r="A11" s="316" t="s">
        <v>149</v>
      </c>
      <c r="B11" s="316"/>
      <c r="C11" s="316"/>
      <c r="D11" s="211" t="s">
        <v>144</v>
      </c>
      <c r="E11" s="315">
        <f>+'Tab. 4.2 Assunzioni  2024'!T30</f>
        <v>6406630.9800000004</v>
      </c>
      <c r="F11" s="315"/>
      <c r="G11" s="315"/>
    </row>
    <row r="12" spans="1:12" ht="54" customHeight="1" x14ac:dyDescent="0.35">
      <c r="A12" s="316" t="s">
        <v>150</v>
      </c>
      <c r="B12" s="316"/>
      <c r="C12" s="316"/>
      <c r="D12" s="211" t="s">
        <v>144</v>
      </c>
      <c r="E12" s="315">
        <f>+'Tab. 4.2 Assunzioni  2024'!T31</f>
        <v>21776068.940000001</v>
      </c>
      <c r="F12" s="315"/>
      <c r="G12" s="315"/>
    </row>
    <row r="13" spans="1:12" ht="28.5" customHeight="1" x14ac:dyDescent="0.35">
      <c r="A13" s="320" t="s">
        <v>40</v>
      </c>
      <c r="B13" s="320"/>
      <c r="C13" s="320"/>
      <c r="D13" s="215"/>
      <c r="E13" s="317">
        <f>+E7+E8-E9+E10+E11+E12</f>
        <v>135795596.72000003</v>
      </c>
      <c r="F13" s="317"/>
      <c r="G13" s="317"/>
    </row>
    <row r="14" spans="1:12" ht="45" customHeight="1" x14ac:dyDescent="0.35">
      <c r="A14" s="216"/>
      <c r="B14" s="216"/>
      <c r="C14" s="216"/>
      <c r="D14" s="217"/>
      <c r="E14" s="321" t="s">
        <v>151</v>
      </c>
      <c r="F14" s="321"/>
      <c r="G14" s="321"/>
    </row>
    <row r="15" spans="1:12" ht="43.5" customHeight="1" x14ac:dyDescent="0.25">
      <c r="A15" s="316" t="s">
        <v>152</v>
      </c>
      <c r="B15" s="316"/>
      <c r="C15" s="316"/>
      <c r="D15" s="218"/>
      <c r="E15" s="317">
        <f>+'Tab.1 valore finanziario D.O.'!M25</f>
        <v>163221151.88999999</v>
      </c>
      <c r="F15" s="317"/>
      <c r="G15" s="317"/>
    </row>
    <row r="16" spans="1:12" ht="43.5" customHeight="1" x14ac:dyDescent="0.25">
      <c r="A16" s="218"/>
      <c r="B16" s="218"/>
      <c r="C16" s="218"/>
      <c r="D16" s="218"/>
      <c r="E16" s="219"/>
      <c r="F16" s="219"/>
      <c r="G16" s="219"/>
    </row>
    <row r="18" spans="1:9" x14ac:dyDescent="0.25">
      <c r="A18" s="318" t="s">
        <v>41</v>
      </c>
      <c r="B18" s="318"/>
      <c r="C18" s="318"/>
      <c r="D18" s="318"/>
      <c r="E18" s="318"/>
      <c r="F18" s="318"/>
      <c r="G18" s="318"/>
      <c r="H18" s="318"/>
      <c r="I18" s="318"/>
    </row>
    <row r="19" spans="1:9" x14ac:dyDescent="0.25">
      <c r="A19" s="220" t="s">
        <v>153</v>
      </c>
      <c r="I19" s="221"/>
    </row>
    <row r="20" spans="1:9" ht="42.75" customHeight="1" x14ac:dyDescent="0.25">
      <c r="A20" s="319" t="s">
        <v>154</v>
      </c>
      <c r="B20" s="319"/>
      <c r="C20" s="319"/>
      <c r="D20" s="319"/>
      <c r="E20" s="319"/>
      <c r="F20" s="319"/>
      <c r="G20" s="319"/>
      <c r="H20" s="319"/>
      <c r="I20" s="319"/>
    </row>
  </sheetData>
  <mergeCells count="21">
    <mergeCell ref="A15:C15"/>
    <mergeCell ref="E15:G15"/>
    <mergeCell ref="A18:I18"/>
    <mergeCell ref="A20:I20"/>
    <mergeCell ref="A12:C12"/>
    <mergeCell ref="E12:G12"/>
    <mergeCell ref="A13:C13"/>
    <mergeCell ref="E13:G13"/>
    <mergeCell ref="E14:G14"/>
    <mergeCell ref="A9:C9"/>
    <mergeCell ref="E9:G9"/>
    <mergeCell ref="A10:C10"/>
    <mergeCell ref="E10:G10"/>
    <mergeCell ref="A11:C11"/>
    <mergeCell ref="E11:G11"/>
    <mergeCell ref="A2:D2"/>
    <mergeCell ref="C5:D5"/>
    <mergeCell ref="A7:C7"/>
    <mergeCell ref="E7:G7"/>
    <mergeCell ref="A8:C8"/>
    <mergeCell ref="E8:G8"/>
  </mergeCells>
  <pageMargins left="0.70866141732283472" right="0.70866141732283472" top="0.74803149606299213" bottom="0.74803149606299213" header="0.51181102362204722" footer="0.51181102362204722"/>
  <pageSetup paperSize="9" scale="85"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rgb="FFFFFF00"/>
  </sheetPr>
  <dimension ref="A1:D42"/>
  <sheetViews>
    <sheetView workbookViewId="0">
      <selection activeCell="L18" sqref="L18"/>
    </sheetView>
  </sheetViews>
  <sheetFormatPr defaultRowHeight="15" x14ac:dyDescent="0.25"/>
  <cols>
    <col min="1" max="1" width="34.42578125" customWidth="1"/>
    <col min="2" max="2" width="19" customWidth="1"/>
    <col min="3" max="3" width="40.42578125" customWidth="1"/>
    <col min="4" max="4" width="24.85546875" hidden="1" customWidth="1"/>
    <col min="256" max="256" width="44.28515625" customWidth="1"/>
    <col min="257" max="257" width="17.28515625" customWidth="1"/>
    <col min="258" max="258" width="16.5703125" customWidth="1"/>
    <col min="259" max="259" width="47.85546875" customWidth="1"/>
    <col min="260" max="260" width="0" hidden="1" customWidth="1"/>
    <col min="512" max="512" width="44.28515625" customWidth="1"/>
    <col min="513" max="513" width="17.28515625" customWidth="1"/>
    <col min="514" max="514" width="16.5703125" customWidth="1"/>
    <col min="515" max="515" width="47.85546875" customWidth="1"/>
    <col min="516" max="516" width="0" hidden="1" customWidth="1"/>
    <col min="768" max="768" width="44.28515625" customWidth="1"/>
    <col min="769" max="769" width="17.28515625" customWidth="1"/>
    <col min="770" max="770" width="16.5703125" customWidth="1"/>
    <col min="771" max="771" width="47.85546875" customWidth="1"/>
    <col min="772" max="772" width="0" hidden="1" customWidth="1"/>
    <col min="1024" max="1024" width="44.28515625" customWidth="1"/>
    <col min="1025" max="1025" width="17.28515625" customWidth="1"/>
    <col min="1026" max="1026" width="16.5703125" customWidth="1"/>
    <col min="1027" max="1027" width="47.85546875" customWidth="1"/>
    <col min="1028" max="1028" width="0" hidden="1" customWidth="1"/>
    <col min="1280" max="1280" width="44.28515625" customWidth="1"/>
    <col min="1281" max="1281" width="17.28515625" customWidth="1"/>
    <col min="1282" max="1282" width="16.5703125" customWidth="1"/>
    <col min="1283" max="1283" width="47.85546875" customWidth="1"/>
    <col min="1284" max="1284" width="0" hidden="1" customWidth="1"/>
    <col min="1536" max="1536" width="44.28515625" customWidth="1"/>
    <col min="1537" max="1537" width="17.28515625" customWidth="1"/>
    <col min="1538" max="1538" width="16.5703125" customWidth="1"/>
    <col min="1539" max="1539" width="47.85546875" customWidth="1"/>
    <col min="1540" max="1540" width="0" hidden="1" customWidth="1"/>
    <col min="1792" max="1792" width="44.28515625" customWidth="1"/>
    <col min="1793" max="1793" width="17.28515625" customWidth="1"/>
    <col min="1794" max="1794" width="16.5703125" customWidth="1"/>
    <col min="1795" max="1795" width="47.85546875" customWidth="1"/>
    <col min="1796" max="1796" width="0" hidden="1" customWidth="1"/>
    <col min="2048" max="2048" width="44.28515625" customWidth="1"/>
    <col min="2049" max="2049" width="17.28515625" customWidth="1"/>
    <col min="2050" max="2050" width="16.5703125" customWidth="1"/>
    <col min="2051" max="2051" width="47.85546875" customWidth="1"/>
    <col min="2052" max="2052" width="0" hidden="1" customWidth="1"/>
    <col min="2304" max="2304" width="44.28515625" customWidth="1"/>
    <col min="2305" max="2305" width="17.28515625" customWidth="1"/>
    <col min="2306" max="2306" width="16.5703125" customWidth="1"/>
    <col min="2307" max="2307" width="47.85546875" customWidth="1"/>
    <col min="2308" max="2308" width="0" hidden="1" customWidth="1"/>
    <col min="2560" max="2560" width="44.28515625" customWidth="1"/>
    <col min="2561" max="2561" width="17.28515625" customWidth="1"/>
    <col min="2562" max="2562" width="16.5703125" customWidth="1"/>
    <col min="2563" max="2563" width="47.85546875" customWidth="1"/>
    <col min="2564" max="2564" width="0" hidden="1" customWidth="1"/>
    <col min="2816" max="2816" width="44.28515625" customWidth="1"/>
    <col min="2817" max="2817" width="17.28515625" customWidth="1"/>
    <col min="2818" max="2818" width="16.5703125" customWidth="1"/>
    <col min="2819" max="2819" width="47.85546875" customWidth="1"/>
    <col min="2820" max="2820" width="0" hidden="1" customWidth="1"/>
    <col min="3072" max="3072" width="44.28515625" customWidth="1"/>
    <col min="3073" max="3073" width="17.28515625" customWidth="1"/>
    <col min="3074" max="3074" width="16.5703125" customWidth="1"/>
    <col min="3075" max="3075" width="47.85546875" customWidth="1"/>
    <col min="3076" max="3076" width="0" hidden="1" customWidth="1"/>
    <col min="3328" max="3328" width="44.28515625" customWidth="1"/>
    <col min="3329" max="3329" width="17.28515625" customWidth="1"/>
    <col min="3330" max="3330" width="16.5703125" customWidth="1"/>
    <col min="3331" max="3331" width="47.85546875" customWidth="1"/>
    <col min="3332" max="3332" width="0" hidden="1" customWidth="1"/>
    <col min="3584" max="3584" width="44.28515625" customWidth="1"/>
    <col min="3585" max="3585" width="17.28515625" customWidth="1"/>
    <col min="3586" max="3586" width="16.5703125" customWidth="1"/>
    <col min="3587" max="3587" width="47.85546875" customWidth="1"/>
    <col min="3588" max="3588" width="0" hidden="1" customWidth="1"/>
    <col min="3840" max="3840" width="44.28515625" customWidth="1"/>
    <col min="3841" max="3841" width="17.28515625" customWidth="1"/>
    <col min="3842" max="3842" width="16.5703125" customWidth="1"/>
    <col min="3843" max="3843" width="47.85546875" customWidth="1"/>
    <col min="3844" max="3844" width="0" hidden="1" customWidth="1"/>
    <col min="4096" max="4096" width="44.28515625" customWidth="1"/>
    <col min="4097" max="4097" width="17.28515625" customWidth="1"/>
    <col min="4098" max="4098" width="16.5703125" customWidth="1"/>
    <col min="4099" max="4099" width="47.85546875" customWidth="1"/>
    <col min="4100" max="4100" width="0" hidden="1" customWidth="1"/>
    <col min="4352" max="4352" width="44.28515625" customWidth="1"/>
    <col min="4353" max="4353" width="17.28515625" customWidth="1"/>
    <col min="4354" max="4354" width="16.5703125" customWidth="1"/>
    <col min="4355" max="4355" width="47.85546875" customWidth="1"/>
    <col min="4356" max="4356" width="0" hidden="1" customWidth="1"/>
    <col min="4608" max="4608" width="44.28515625" customWidth="1"/>
    <col min="4609" max="4609" width="17.28515625" customWidth="1"/>
    <col min="4610" max="4610" width="16.5703125" customWidth="1"/>
    <col min="4611" max="4611" width="47.85546875" customWidth="1"/>
    <col min="4612" max="4612" width="0" hidden="1" customWidth="1"/>
    <col min="4864" max="4864" width="44.28515625" customWidth="1"/>
    <col min="4865" max="4865" width="17.28515625" customWidth="1"/>
    <col min="4866" max="4866" width="16.5703125" customWidth="1"/>
    <col min="4867" max="4867" width="47.85546875" customWidth="1"/>
    <col min="4868" max="4868" width="0" hidden="1" customWidth="1"/>
    <col min="5120" max="5120" width="44.28515625" customWidth="1"/>
    <col min="5121" max="5121" width="17.28515625" customWidth="1"/>
    <col min="5122" max="5122" width="16.5703125" customWidth="1"/>
    <col min="5123" max="5123" width="47.85546875" customWidth="1"/>
    <col min="5124" max="5124" width="0" hidden="1" customWidth="1"/>
    <col min="5376" max="5376" width="44.28515625" customWidth="1"/>
    <col min="5377" max="5377" width="17.28515625" customWidth="1"/>
    <col min="5378" max="5378" width="16.5703125" customWidth="1"/>
    <col min="5379" max="5379" width="47.85546875" customWidth="1"/>
    <col min="5380" max="5380" width="0" hidden="1" customWidth="1"/>
    <col min="5632" max="5632" width="44.28515625" customWidth="1"/>
    <col min="5633" max="5633" width="17.28515625" customWidth="1"/>
    <col min="5634" max="5634" width="16.5703125" customWidth="1"/>
    <col min="5635" max="5635" width="47.85546875" customWidth="1"/>
    <col min="5636" max="5636" width="0" hidden="1" customWidth="1"/>
    <col min="5888" max="5888" width="44.28515625" customWidth="1"/>
    <col min="5889" max="5889" width="17.28515625" customWidth="1"/>
    <col min="5890" max="5890" width="16.5703125" customWidth="1"/>
    <col min="5891" max="5891" width="47.85546875" customWidth="1"/>
    <col min="5892" max="5892" width="0" hidden="1" customWidth="1"/>
    <col min="6144" max="6144" width="44.28515625" customWidth="1"/>
    <col min="6145" max="6145" width="17.28515625" customWidth="1"/>
    <col min="6146" max="6146" width="16.5703125" customWidth="1"/>
    <col min="6147" max="6147" width="47.85546875" customWidth="1"/>
    <col min="6148" max="6148" width="0" hidden="1" customWidth="1"/>
    <col min="6400" max="6400" width="44.28515625" customWidth="1"/>
    <col min="6401" max="6401" width="17.28515625" customWidth="1"/>
    <col min="6402" max="6402" width="16.5703125" customWidth="1"/>
    <col min="6403" max="6403" width="47.85546875" customWidth="1"/>
    <col min="6404" max="6404" width="0" hidden="1" customWidth="1"/>
    <col min="6656" max="6656" width="44.28515625" customWidth="1"/>
    <col min="6657" max="6657" width="17.28515625" customWidth="1"/>
    <col min="6658" max="6658" width="16.5703125" customWidth="1"/>
    <col min="6659" max="6659" width="47.85546875" customWidth="1"/>
    <col min="6660" max="6660" width="0" hidden="1" customWidth="1"/>
    <col min="6912" max="6912" width="44.28515625" customWidth="1"/>
    <col min="6913" max="6913" width="17.28515625" customWidth="1"/>
    <col min="6914" max="6914" width="16.5703125" customWidth="1"/>
    <col min="6915" max="6915" width="47.85546875" customWidth="1"/>
    <col min="6916" max="6916" width="0" hidden="1" customWidth="1"/>
    <col min="7168" max="7168" width="44.28515625" customWidth="1"/>
    <col min="7169" max="7169" width="17.28515625" customWidth="1"/>
    <col min="7170" max="7170" width="16.5703125" customWidth="1"/>
    <col min="7171" max="7171" width="47.85546875" customWidth="1"/>
    <col min="7172" max="7172" width="0" hidden="1" customWidth="1"/>
    <col min="7424" max="7424" width="44.28515625" customWidth="1"/>
    <col min="7425" max="7425" width="17.28515625" customWidth="1"/>
    <col min="7426" max="7426" width="16.5703125" customWidth="1"/>
    <col min="7427" max="7427" width="47.85546875" customWidth="1"/>
    <col min="7428" max="7428" width="0" hidden="1" customWidth="1"/>
    <col min="7680" max="7680" width="44.28515625" customWidth="1"/>
    <col min="7681" max="7681" width="17.28515625" customWidth="1"/>
    <col min="7682" max="7682" width="16.5703125" customWidth="1"/>
    <col min="7683" max="7683" width="47.85546875" customWidth="1"/>
    <col min="7684" max="7684" width="0" hidden="1" customWidth="1"/>
    <col min="7936" max="7936" width="44.28515625" customWidth="1"/>
    <col min="7937" max="7937" width="17.28515625" customWidth="1"/>
    <col min="7938" max="7938" width="16.5703125" customWidth="1"/>
    <col min="7939" max="7939" width="47.85546875" customWidth="1"/>
    <col min="7940" max="7940" width="0" hidden="1" customWidth="1"/>
    <col min="8192" max="8192" width="44.28515625" customWidth="1"/>
    <col min="8193" max="8193" width="17.28515625" customWidth="1"/>
    <col min="8194" max="8194" width="16.5703125" customWidth="1"/>
    <col min="8195" max="8195" width="47.85546875" customWidth="1"/>
    <col min="8196" max="8196" width="0" hidden="1" customWidth="1"/>
    <col min="8448" max="8448" width="44.28515625" customWidth="1"/>
    <col min="8449" max="8449" width="17.28515625" customWidth="1"/>
    <col min="8450" max="8450" width="16.5703125" customWidth="1"/>
    <col min="8451" max="8451" width="47.85546875" customWidth="1"/>
    <col min="8452" max="8452" width="0" hidden="1" customWidth="1"/>
    <col min="8704" max="8704" width="44.28515625" customWidth="1"/>
    <col min="8705" max="8705" width="17.28515625" customWidth="1"/>
    <col min="8706" max="8706" width="16.5703125" customWidth="1"/>
    <col min="8707" max="8707" width="47.85546875" customWidth="1"/>
    <col min="8708" max="8708" width="0" hidden="1" customWidth="1"/>
    <col min="8960" max="8960" width="44.28515625" customWidth="1"/>
    <col min="8961" max="8961" width="17.28515625" customWidth="1"/>
    <col min="8962" max="8962" width="16.5703125" customWidth="1"/>
    <col min="8963" max="8963" width="47.85546875" customWidth="1"/>
    <col min="8964" max="8964" width="0" hidden="1" customWidth="1"/>
    <col min="9216" max="9216" width="44.28515625" customWidth="1"/>
    <col min="9217" max="9217" width="17.28515625" customWidth="1"/>
    <col min="9218" max="9218" width="16.5703125" customWidth="1"/>
    <col min="9219" max="9219" width="47.85546875" customWidth="1"/>
    <col min="9220" max="9220" width="0" hidden="1" customWidth="1"/>
    <col min="9472" max="9472" width="44.28515625" customWidth="1"/>
    <col min="9473" max="9473" width="17.28515625" customWidth="1"/>
    <col min="9474" max="9474" width="16.5703125" customWidth="1"/>
    <col min="9475" max="9475" width="47.85546875" customWidth="1"/>
    <col min="9476" max="9476" width="0" hidden="1" customWidth="1"/>
    <col min="9728" max="9728" width="44.28515625" customWidth="1"/>
    <col min="9729" max="9729" width="17.28515625" customWidth="1"/>
    <col min="9730" max="9730" width="16.5703125" customWidth="1"/>
    <col min="9731" max="9731" width="47.85546875" customWidth="1"/>
    <col min="9732" max="9732" width="0" hidden="1" customWidth="1"/>
    <col min="9984" max="9984" width="44.28515625" customWidth="1"/>
    <col min="9985" max="9985" width="17.28515625" customWidth="1"/>
    <col min="9986" max="9986" width="16.5703125" customWidth="1"/>
    <col min="9987" max="9987" width="47.85546875" customWidth="1"/>
    <col min="9988" max="9988" width="0" hidden="1" customWidth="1"/>
    <col min="10240" max="10240" width="44.28515625" customWidth="1"/>
    <col min="10241" max="10241" width="17.28515625" customWidth="1"/>
    <col min="10242" max="10242" width="16.5703125" customWidth="1"/>
    <col min="10243" max="10243" width="47.85546875" customWidth="1"/>
    <col min="10244" max="10244" width="0" hidden="1" customWidth="1"/>
    <col min="10496" max="10496" width="44.28515625" customWidth="1"/>
    <col min="10497" max="10497" width="17.28515625" customWidth="1"/>
    <col min="10498" max="10498" width="16.5703125" customWidth="1"/>
    <col min="10499" max="10499" width="47.85546875" customWidth="1"/>
    <col min="10500" max="10500" width="0" hidden="1" customWidth="1"/>
    <col min="10752" max="10752" width="44.28515625" customWidth="1"/>
    <col min="10753" max="10753" width="17.28515625" customWidth="1"/>
    <col min="10754" max="10754" width="16.5703125" customWidth="1"/>
    <col min="10755" max="10755" width="47.85546875" customWidth="1"/>
    <col min="10756" max="10756" width="0" hidden="1" customWidth="1"/>
    <col min="11008" max="11008" width="44.28515625" customWidth="1"/>
    <col min="11009" max="11009" width="17.28515625" customWidth="1"/>
    <col min="11010" max="11010" width="16.5703125" customWidth="1"/>
    <col min="11011" max="11011" width="47.85546875" customWidth="1"/>
    <col min="11012" max="11012" width="0" hidden="1" customWidth="1"/>
    <col min="11264" max="11264" width="44.28515625" customWidth="1"/>
    <col min="11265" max="11265" width="17.28515625" customWidth="1"/>
    <col min="11266" max="11266" width="16.5703125" customWidth="1"/>
    <col min="11267" max="11267" width="47.85546875" customWidth="1"/>
    <col min="11268" max="11268" width="0" hidden="1" customWidth="1"/>
    <col min="11520" max="11520" width="44.28515625" customWidth="1"/>
    <col min="11521" max="11521" width="17.28515625" customWidth="1"/>
    <col min="11522" max="11522" width="16.5703125" customWidth="1"/>
    <col min="11523" max="11523" width="47.85546875" customWidth="1"/>
    <col min="11524" max="11524" width="0" hidden="1" customWidth="1"/>
    <col min="11776" max="11776" width="44.28515625" customWidth="1"/>
    <col min="11777" max="11777" width="17.28515625" customWidth="1"/>
    <col min="11778" max="11778" width="16.5703125" customWidth="1"/>
    <col min="11779" max="11779" width="47.85546875" customWidth="1"/>
    <col min="11780" max="11780" width="0" hidden="1" customWidth="1"/>
    <col min="12032" max="12032" width="44.28515625" customWidth="1"/>
    <col min="12033" max="12033" width="17.28515625" customWidth="1"/>
    <col min="12034" max="12034" width="16.5703125" customWidth="1"/>
    <col min="12035" max="12035" width="47.85546875" customWidth="1"/>
    <col min="12036" max="12036" width="0" hidden="1" customWidth="1"/>
    <col min="12288" max="12288" width="44.28515625" customWidth="1"/>
    <col min="12289" max="12289" width="17.28515625" customWidth="1"/>
    <col min="12290" max="12290" width="16.5703125" customWidth="1"/>
    <col min="12291" max="12291" width="47.85546875" customWidth="1"/>
    <col min="12292" max="12292" width="0" hidden="1" customWidth="1"/>
    <col min="12544" max="12544" width="44.28515625" customWidth="1"/>
    <col min="12545" max="12545" width="17.28515625" customWidth="1"/>
    <col min="12546" max="12546" width="16.5703125" customWidth="1"/>
    <col min="12547" max="12547" width="47.85546875" customWidth="1"/>
    <col min="12548" max="12548" width="0" hidden="1" customWidth="1"/>
    <col min="12800" max="12800" width="44.28515625" customWidth="1"/>
    <col min="12801" max="12801" width="17.28515625" customWidth="1"/>
    <col min="12802" max="12802" width="16.5703125" customWidth="1"/>
    <col min="12803" max="12803" width="47.85546875" customWidth="1"/>
    <col min="12804" max="12804" width="0" hidden="1" customWidth="1"/>
    <col min="13056" max="13056" width="44.28515625" customWidth="1"/>
    <col min="13057" max="13057" width="17.28515625" customWidth="1"/>
    <col min="13058" max="13058" width="16.5703125" customWidth="1"/>
    <col min="13059" max="13059" width="47.85546875" customWidth="1"/>
    <col min="13060" max="13060" width="0" hidden="1" customWidth="1"/>
    <col min="13312" max="13312" width="44.28515625" customWidth="1"/>
    <col min="13313" max="13313" width="17.28515625" customWidth="1"/>
    <col min="13314" max="13314" width="16.5703125" customWidth="1"/>
    <col min="13315" max="13315" width="47.85546875" customWidth="1"/>
    <col min="13316" max="13316" width="0" hidden="1" customWidth="1"/>
    <col min="13568" max="13568" width="44.28515625" customWidth="1"/>
    <col min="13569" max="13569" width="17.28515625" customWidth="1"/>
    <col min="13570" max="13570" width="16.5703125" customWidth="1"/>
    <col min="13571" max="13571" width="47.85546875" customWidth="1"/>
    <col min="13572" max="13572" width="0" hidden="1" customWidth="1"/>
    <col min="13824" max="13824" width="44.28515625" customWidth="1"/>
    <col min="13825" max="13825" width="17.28515625" customWidth="1"/>
    <col min="13826" max="13826" width="16.5703125" customWidth="1"/>
    <col min="13827" max="13827" width="47.85546875" customWidth="1"/>
    <col min="13828" max="13828" width="0" hidden="1" customWidth="1"/>
    <col min="14080" max="14080" width="44.28515625" customWidth="1"/>
    <col min="14081" max="14081" width="17.28515625" customWidth="1"/>
    <col min="14082" max="14082" width="16.5703125" customWidth="1"/>
    <col min="14083" max="14083" width="47.85546875" customWidth="1"/>
    <col min="14084" max="14084" width="0" hidden="1" customWidth="1"/>
    <col min="14336" max="14336" width="44.28515625" customWidth="1"/>
    <col min="14337" max="14337" width="17.28515625" customWidth="1"/>
    <col min="14338" max="14338" width="16.5703125" customWidth="1"/>
    <col min="14339" max="14339" width="47.85546875" customWidth="1"/>
    <col min="14340" max="14340" width="0" hidden="1" customWidth="1"/>
    <col min="14592" max="14592" width="44.28515625" customWidth="1"/>
    <col min="14593" max="14593" width="17.28515625" customWidth="1"/>
    <col min="14594" max="14594" width="16.5703125" customWidth="1"/>
    <col min="14595" max="14595" width="47.85546875" customWidth="1"/>
    <col min="14596" max="14596" width="0" hidden="1" customWidth="1"/>
    <col min="14848" max="14848" width="44.28515625" customWidth="1"/>
    <col min="14849" max="14849" width="17.28515625" customWidth="1"/>
    <col min="14850" max="14850" width="16.5703125" customWidth="1"/>
    <col min="14851" max="14851" width="47.85546875" customWidth="1"/>
    <col min="14852" max="14852" width="0" hidden="1" customWidth="1"/>
    <col min="15104" max="15104" width="44.28515625" customWidth="1"/>
    <col min="15105" max="15105" width="17.28515625" customWidth="1"/>
    <col min="15106" max="15106" width="16.5703125" customWidth="1"/>
    <col min="15107" max="15107" width="47.85546875" customWidth="1"/>
    <col min="15108" max="15108" width="0" hidden="1" customWidth="1"/>
    <col min="15360" max="15360" width="44.28515625" customWidth="1"/>
    <col min="15361" max="15361" width="17.28515625" customWidth="1"/>
    <col min="15362" max="15362" width="16.5703125" customWidth="1"/>
    <col min="15363" max="15363" width="47.85546875" customWidth="1"/>
    <col min="15364" max="15364" width="0" hidden="1" customWidth="1"/>
    <col min="15616" max="15616" width="44.28515625" customWidth="1"/>
    <col min="15617" max="15617" width="17.28515625" customWidth="1"/>
    <col min="15618" max="15618" width="16.5703125" customWidth="1"/>
    <col min="15619" max="15619" width="47.85546875" customWidth="1"/>
    <col min="15620" max="15620" width="0" hidden="1" customWidth="1"/>
    <col min="15872" max="15872" width="44.28515625" customWidth="1"/>
    <col min="15873" max="15873" width="17.28515625" customWidth="1"/>
    <col min="15874" max="15874" width="16.5703125" customWidth="1"/>
    <col min="15875" max="15875" width="47.85546875" customWidth="1"/>
    <col min="15876" max="15876" width="0" hidden="1" customWidth="1"/>
    <col min="16128" max="16128" width="44.28515625" customWidth="1"/>
    <col min="16129" max="16129" width="17.28515625" customWidth="1"/>
    <col min="16130" max="16130" width="16.5703125" customWidth="1"/>
    <col min="16131" max="16131" width="47.85546875" customWidth="1"/>
    <col min="16132" max="16132" width="0" hidden="1" customWidth="1"/>
  </cols>
  <sheetData>
    <row r="1" spans="1:4" ht="15.75" x14ac:dyDescent="0.25">
      <c r="A1" s="325" t="s">
        <v>171</v>
      </c>
      <c r="C1" s="233" t="s">
        <v>206</v>
      </c>
    </row>
    <row r="4" spans="1:4" ht="15.75" x14ac:dyDescent="0.25">
      <c r="A4" s="239" t="s">
        <v>188</v>
      </c>
    </row>
    <row r="5" spans="1:4" ht="42.75" customHeight="1" x14ac:dyDescent="0.25">
      <c r="A5" s="245" t="s">
        <v>182</v>
      </c>
      <c r="B5" s="245" t="s">
        <v>187</v>
      </c>
      <c r="C5" s="246" t="s">
        <v>172</v>
      </c>
      <c r="D5" s="243" t="s">
        <v>173</v>
      </c>
    </row>
    <row r="6" spans="1:4" ht="15" customHeight="1" x14ac:dyDescent="0.25">
      <c r="A6" s="247" t="s">
        <v>191</v>
      </c>
      <c r="B6" s="248">
        <v>2</v>
      </c>
      <c r="C6" s="235" t="s">
        <v>174</v>
      </c>
      <c r="D6" s="243"/>
    </row>
    <row r="7" spans="1:4" ht="15" customHeight="1" x14ac:dyDescent="0.25">
      <c r="A7" s="245"/>
      <c r="B7" s="248">
        <v>1</v>
      </c>
      <c r="C7" s="235" t="s">
        <v>186</v>
      </c>
      <c r="D7" s="243"/>
    </row>
    <row r="8" spans="1:4" ht="15" customHeight="1" x14ac:dyDescent="0.25">
      <c r="A8" s="245"/>
      <c r="B8" s="248">
        <v>2</v>
      </c>
      <c r="C8" s="235" t="s">
        <v>184</v>
      </c>
      <c r="D8" s="243"/>
    </row>
    <row r="9" spans="1:4" ht="15" customHeight="1" x14ac:dyDescent="0.25">
      <c r="A9" s="245"/>
      <c r="B9" s="248">
        <v>1</v>
      </c>
      <c r="C9" s="235" t="s">
        <v>185</v>
      </c>
      <c r="D9" s="243"/>
    </row>
    <row r="10" spans="1:4" ht="15" customHeight="1" x14ac:dyDescent="0.25">
      <c r="A10" s="245"/>
      <c r="B10" s="245">
        <f>SUM(B6:B9)</f>
        <v>6</v>
      </c>
      <c r="C10" s="246"/>
      <c r="D10" s="243"/>
    </row>
    <row r="11" spans="1:4" ht="15" customHeight="1" x14ac:dyDescent="0.25">
      <c r="A11" s="245"/>
      <c r="B11" s="245"/>
      <c r="C11" s="246"/>
      <c r="D11" s="243"/>
    </row>
    <row r="12" spans="1:4" ht="15" customHeight="1" x14ac:dyDescent="0.25">
      <c r="A12" s="247" t="s">
        <v>192</v>
      </c>
      <c r="B12" s="245">
        <v>1</v>
      </c>
      <c r="C12" s="235" t="s">
        <v>185</v>
      </c>
      <c r="D12" s="243"/>
    </row>
    <row r="13" spans="1:4" ht="15" customHeight="1" x14ac:dyDescent="0.25">
      <c r="A13" s="245"/>
      <c r="B13" s="245"/>
      <c r="C13" s="246"/>
      <c r="D13" s="243"/>
    </row>
    <row r="14" spans="1:4" ht="15" customHeight="1" x14ac:dyDescent="0.25">
      <c r="A14" s="245"/>
      <c r="B14" s="245"/>
      <c r="C14" s="246"/>
      <c r="D14" s="243"/>
    </row>
    <row r="15" spans="1:4" ht="15.75" x14ac:dyDescent="0.25">
      <c r="A15" s="247" t="s">
        <v>183</v>
      </c>
      <c r="B15" s="249">
        <f>45+9+9+1</f>
        <v>64</v>
      </c>
      <c r="C15" s="235" t="s">
        <v>184</v>
      </c>
      <c r="D15" s="244" t="s">
        <v>175</v>
      </c>
    </row>
    <row r="16" spans="1:4" ht="15.75" x14ac:dyDescent="0.25">
      <c r="A16" s="247"/>
      <c r="B16" s="249">
        <f>46+5+30</f>
        <v>81</v>
      </c>
      <c r="C16" s="235" t="s">
        <v>185</v>
      </c>
      <c r="D16" s="244"/>
    </row>
    <row r="17" spans="1:4" ht="15.75" x14ac:dyDescent="0.25">
      <c r="A17" s="235"/>
      <c r="B17" s="249">
        <f>1+2+1</f>
        <v>4</v>
      </c>
      <c r="C17" s="235" t="s">
        <v>186</v>
      </c>
      <c r="D17" s="234"/>
    </row>
    <row r="18" spans="1:4" ht="15.75" x14ac:dyDescent="0.25">
      <c r="A18" s="235"/>
      <c r="B18" s="238">
        <f>SUM(B15:B17)</f>
        <v>149</v>
      </c>
      <c r="C18" s="235"/>
      <c r="D18" s="234" t="s">
        <v>178</v>
      </c>
    </row>
    <row r="19" spans="1:4" ht="15.75" x14ac:dyDescent="0.25">
      <c r="A19" s="235"/>
      <c r="B19" s="247"/>
      <c r="C19" s="247"/>
      <c r="D19" s="234"/>
    </row>
    <row r="20" spans="1:4" ht="15.75" x14ac:dyDescent="0.25">
      <c r="A20" s="235" t="s">
        <v>38</v>
      </c>
      <c r="B20" s="249">
        <v>7</v>
      </c>
      <c r="C20" s="235" t="s">
        <v>181</v>
      </c>
      <c r="D20" s="234"/>
    </row>
    <row r="21" spans="1:4" ht="15.75" x14ac:dyDescent="0.25">
      <c r="A21" s="235"/>
      <c r="B21" s="249">
        <v>5</v>
      </c>
      <c r="C21" s="235" t="s">
        <v>184</v>
      </c>
      <c r="D21" s="234"/>
    </row>
    <row r="22" spans="1:4" ht="15.75" x14ac:dyDescent="0.25">
      <c r="A22" s="235"/>
      <c r="B22" s="249">
        <v>16</v>
      </c>
      <c r="C22" s="235" t="s">
        <v>185</v>
      </c>
      <c r="D22" s="234" t="s">
        <v>178</v>
      </c>
    </row>
    <row r="23" spans="1:4" ht="15.75" x14ac:dyDescent="0.25">
      <c r="A23" s="235"/>
      <c r="B23" s="249">
        <f>25+6+3</f>
        <v>34</v>
      </c>
      <c r="C23" s="235" t="s">
        <v>186</v>
      </c>
      <c r="D23" s="234"/>
    </row>
    <row r="24" spans="1:4" ht="15.75" x14ac:dyDescent="0.25">
      <c r="A24" s="235"/>
      <c r="B24" s="249">
        <v>26</v>
      </c>
      <c r="C24" s="235" t="s">
        <v>184</v>
      </c>
      <c r="D24" s="234"/>
    </row>
    <row r="25" spans="1:4" ht="15.75" x14ac:dyDescent="0.25">
      <c r="A25" s="235"/>
      <c r="B25" s="249">
        <v>9</v>
      </c>
      <c r="C25" s="235" t="s">
        <v>179</v>
      </c>
      <c r="D25" s="234"/>
    </row>
    <row r="26" spans="1:4" ht="15.75" x14ac:dyDescent="0.25">
      <c r="A26" s="235"/>
      <c r="B26" s="238">
        <f>SUM(B20:B25)</f>
        <v>97</v>
      </c>
      <c r="C26" s="235"/>
      <c r="D26" s="234"/>
    </row>
    <row r="27" spans="1:4" ht="15.75" x14ac:dyDescent="0.25">
      <c r="A27" s="236"/>
      <c r="B27" s="237"/>
      <c r="C27" s="236"/>
      <c r="D27" s="234"/>
    </row>
    <row r="28" spans="1:4" ht="15.75" x14ac:dyDescent="0.25">
      <c r="A28" s="236"/>
      <c r="B28" s="237"/>
      <c r="C28" s="236"/>
      <c r="D28" s="234"/>
    </row>
    <row r="29" spans="1:4" ht="15.75" x14ac:dyDescent="0.25">
      <c r="A29" s="239" t="s">
        <v>189</v>
      </c>
      <c r="B29" s="237"/>
      <c r="C29" s="236"/>
      <c r="D29" s="234"/>
    </row>
    <row r="30" spans="1:4" ht="31.5" x14ac:dyDescent="0.25">
      <c r="A30" s="245" t="s">
        <v>182</v>
      </c>
      <c r="B30" s="245" t="s">
        <v>187</v>
      </c>
      <c r="C30" s="246" t="s">
        <v>172</v>
      </c>
      <c r="D30" s="234"/>
    </row>
    <row r="31" spans="1:4" ht="15.75" x14ac:dyDescent="0.25">
      <c r="A31" s="247" t="s">
        <v>183</v>
      </c>
      <c r="B31" s="249"/>
      <c r="C31" s="250"/>
      <c r="D31" s="234"/>
    </row>
    <row r="32" spans="1:4" ht="15.75" x14ac:dyDescent="0.25">
      <c r="A32" s="247"/>
      <c r="B32" s="249">
        <v>40</v>
      </c>
      <c r="C32" s="240" t="s">
        <v>176</v>
      </c>
      <c r="D32" s="234"/>
    </row>
    <row r="33" spans="1:4" ht="15.75" x14ac:dyDescent="0.25">
      <c r="A33" s="235"/>
      <c r="B33" s="249">
        <f>421+320+52+83-21+12+7</f>
        <v>874</v>
      </c>
      <c r="C33" s="240" t="s">
        <v>227</v>
      </c>
      <c r="D33" s="234"/>
    </row>
    <row r="34" spans="1:4" ht="15.75" x14ac:dyDescent="0.25">
      <c r="A34" s="235"/>
      <c r="B34" s="242">
        <f>SUM(B32:B33)</f>
        <v>914</v>
      </c>
      <c r="C34" s="235"/>
      <c r="D34" s="234"/>
    </row>
    <row r="35" spans="1:4" ht="15.75" x14ac:dyDescent="0.25">
      <c r="A35" s="235"/>
      <c r="B35" s="238"/>
      <c r="C35" s="235"/>
      <c r="D35" s="234"/>
    </row>
    <row r="36" spans="1:4" ht="15.75" x14ac:dyDescent="0.25">
      <c r="A36" s="235" t="s">
        <v>190</v>
      </c>
      <c r="B36" s="249"/>
      <c r="C36" s="235"/>
      <c r="D36" s="234"/>
    </row>
    <row r="37" spans="1:4" ht="15.75" x14ac:dyDescent="0.25">
      <c r="A37" s="235"/>
      <c r="B37" s="249"/>
      <c r="C37" s="235"/>
      <c r="D37" s="234"/>
    </row>
    <row r="38" spans="1:4" ht="15.75" x14ac:dyDescent="0.25">
      <c r="A38" s="235"/>
      <c r="B38" s="249">
        <f>68+82+18+29</f>
        <v>197</v>
      </c>
      <c r="C38" s="240" t="s">
        <v>227</v>
      </c>
      <c r="D38" s="234"/>
    </row>
    <row r="39" spans="1:4" ht="15.75" x14ac:dyDescent="0.25">
      <c r="A39" s="235"/>
      <c r="B39" s="249">
        <v>16</v>
      </c>
      <c r="C39" s="240" t="s">
        <v>177</v>
      </c>
      <c r="D39" s="234"/>
    </row>
    <row r="40" spans="1:4" ht="15.75" x14ac:dyDescent="0.25">
      <c r="A40" s="235"/>
      <c r="B40" s="249">
        <v>1</v>
      </c>
      <c r="C40" s="240" t="s">
        <v>180</v>
      </c>
      <c r="D40" s="234"/>
    </row>
    <row r="41" spans="1:4" ht="15.75" x14ac:dyDescent="0.25">
      <c r="A41" s="235"/>
      <c r="B41" s="242">
        <f>SUM(B38:B40)</f>
        <v>214</v>
      </c>
      <c r="C41" s="235"/>
      <c r="D41" s="234"/>
    </row>
    <row r="42" spans="1:4" ht="15.75" x14ac:dyDescent="0.25">
      <c r="A42" s="236"/>
      <c r="B42" s="241"/>
      <c r="C42" s="236"/>
      <c r="D42" s="234"/>
    </row>
  </sheetData>
  <pageMargins left="0.39370078740157483" right="0.23622047244094491" top="0.74803149606299213" bottom="0.74803149606299213" header="0.31496062992125984" footer="0.31496062992125984"/>
  <pageSetup paperSize="9" scale="90" orientation="portrait" r:id="rId1"/>
</worksheet>
</file>

<file path=docProps/app.xml><?xml version="1.0" encoding="utf-8"?>
<Properties xmlns="http://schemas.openxmlformats.org/officeDocument/2006/extended-properties" xmlns:vt="http://schemas.openxmlformats.org/officeDocument/2006/docPropsVTypes">
  <Template/>
  <TotalTime>9</TotalTime>
  <Application>Microsoft Excel</Application>
  <DocSecurity>0</DocSecurity>
  <ScaleCrop>false</ScaleCrop>
  <HeadingPairs>
    <vt:vector size="2" baseType="variant">
      <vt:variant>
        <vt:lpstr>Fogli di lavoro</vt:lpstr>
      </vt:variant>
      <vt:variant>
        <vt:i4>13</vt:i4>
      </vt:variant>
    </vt:vector>
  </HeadingPairs>
  <TitlesOfParts>
    <vt:vector size="13" baseType="lpstr">
      <vt:lpstr>Tab.1 valore finanziario D.O.</vt:lpstr>
      <vt:lpstr>Tab. 2  presenti in servizio</vt:lpstr>
      <vt:lpstr>Tab. 3.1  Cessati anno 2023</vt:lpstr>
      <vt:lpstr>Tab. 3.2  Cessati anno 2024</vt:lpstr>
      <vt:lpstr>Tab. 3.3  Cessati anno 2025</vt:lpstr>
      <vt:lpstr>Tab. 3.4  Cessati anno 2026</vt:lpstr>
      <vt:lpstr>Tab 4.1 Bandire e assumere 2024</vt:lpstr>
      <vt:lpstr>Tab. 4.2 Assunzioni  2024</vt:lpstr>
      <vt:lpstr>Tab. 4.3 Assunzioni 2025</vt:lpstr>
      <vt:lpstr>Tab. 4.4 Assunzioni  2026</vt:lpstr>
      <vt:lpstr>Tab. 5 Comandati out</vt:lpstr>
      <vt:lpstr>Tab. 6 Verifica tetto spesa</vt:lpstr>
      <vt:lpstr>All.a) Assunzioni autorizzate</vt:lpstr>
    </vt:vector>
  </TitlesOfParts>
  <Company>Ministero Economia e Finanze - RGS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Elisa Cinti</dc:creator>
  <dc:description/>
  <cp:lastModifiedBy>Maria Martorelli</cp:lastModifiedBy>
  <cp:revision>2</cp:revision>
  <cp:lastPrinted>2024-04-19T09:33:10Z</cp:lastPrinted>
  <dcterms:created xsi:type="dcterms:W3CDTF">2023-05-11T09:15:36Z</dcterms:created>
  <dcterms:modified xsi:type="dcterms:W3CDTF">2024-11-27T10:41:57Z</dcterms:modified>
  <dc:language>it-IT</dc:languag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5097a60d-5525-435b-8989-8eb48ac0c8cd_ActionId">
    <vt:lpwstr>002679b6-28a1-46fb-bdd3-db2817607f3f</vt:lpwstr>
  </property>
  <property fmtid="{D5CDD505-2E9C-101B-9397-08002B2CF9AE}" pid="3" name="MSIP_Label_5097a60d-5525-435b-8989-8eb48ac0c8cd_ContentBits">
    <vt:lpwstr>0</vt:lpwstr>
  </property>
  <property fmtid="{D5CDD505-2E9C-101B-9397-08002B2CF9AE}" pid="4" name="MSIP_Label_5097a60d-5525-435b-8989-8eb48ac0c8cd_Enabled">
    <vt:lpwstr>true</vt:lpwstr>
  </property>
  <property fmtid="{D5CDD505-2E9C-101B-9397-08002B2CF9AE}" pid="5" name="MSIP_Label_5097a60d-5525-435b-8989-8eb48ac0c8cd_Method">
    <vt:lpwstr>Standard</vt:lpwstr>
  </property>
  <property fmtid="{D5CDD505-2E9C-101B-9397-08002B2CF9AE}" pid="6" name="MSIP_Label_5097a60d-5525-435b-8989-8eb48ac0c8cd_Name">
    <vt:lpwstr>defa4170-0d19-0005-0004-bc88714345d2</vt:lpwstr>
  </property>
  <property fmtid="{D5CDD505-2E9C-101B-9397-08002B2CF9AE}" pid="7" name="MSIP_Label_5097a60d-5525-435b-8989-8eb48ac0c8cd_SetDate">
    <vt:lpwstr>2023-11-27T11:46:15Z</vt:lpwstr>
  </property>
  <property fmtid="{D5CDD505-2E9C-101B-9397-08002B2CF9AE}" pid="8" name="MSIP_Label_5097a60d-5525-435b-8989-8eb48ac0c8cd_SiteId">
    <vt:lpwstr>3e90938b-8b27-4762-b4e8-006a8127a119</vt:lpwstr>
  </property>
</Properties>
</file>